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11055" activeTab="0"/>
  </bookViews>
  <sheets>
    <sheet name="R'w vert" sheetId="1" r:id="rId1"/>
    <sheet name="R'w orizz" sheetId="2" r:id="rId2"/>
    <sheet name="Archivio Pareti" sheetId="3" r:id="rId3"/>
    <sheet name="Archivio Solai" sheetId="4" r:id="rId4"/>
  </sheets>
  <definedNames/>
  <calcPr fullCalcOnLoad="1"/>
</workbook>
</file>

<file path=xl/comments1.xml><?xml version="1.0" encoding="utf-8"?>
<comments xmlns="http://schemas.openxmlformats.org/spreadsheetml/2006/main">
  <authors>
    <author>Francesco</author>
  </authors>
  <commentList>
    <comment ref="B14" authorId="0">
      <text>
        <r>
          <rPr>
            <b/>
            <sz val="9"/>
            <rFont val="Tahoma"/>
            <family val="0"/>
          </rPr>
          <t>Francesco:</t>
        </r>
        <r>
          <rPr>
            <sz val="9"/>
            <rFont val="Tahoma"/>
            <family val="0"/>
          </rPr>
          <t xml:space="preserve">
T o croce</t>
        </r>
      </text>
    </comment>
  </commentList>
</comments>
</file>

<file path=xl/comments2.xml><?xml version="1.0" encoding="utf-8"?>
<comments xmlns="http://schemas.openxmlformats.org/spreadsheetml/2006/main">
  <authors>
    <author>Francesco</author>
    <author>FM</author>
  </authors>
  <commentList>
    <comment ref="B14" authorId="0">
      <text>
        <r>
          <rPr>
            <b/>
            <sz val="9"/>
            <rFont val="Tahoma"/>
            <family val="0"/>
          </rPr>
          <t>digitare:</t>
        </r>
        <r>
          <rPr>
            <sz val="9"/>
            <rFont val="Tahoma"/>
            <family val="0"/>
          </rPr>
          <t xml:space="preserve">
T o croce</t>
        </r>
      </text>
    </comment>
    <comment ref="F34" authorId="1">
      <text>
        <r>
          <rPr>
            <b/>
            <sz val="8"/>
            <rFont val="Tahoma"/>
            <family val="0"/>
          </rPr>
          <t>digitare:</t>
        </r>
        <r>
          <rPr>
            <sz val="8"/>
            <rFont val="Tahoma"/>
            <family val="0"/>
          </rPr>
          <t xml:space="preserve">
cls
secco</t>
        </r>
      </text>
    </comment>
  </commentList>
</comments>
</file>

<file path=xl/sharedStrings.xml><?xml version="1.0" encoding="utf-8"?>
<sst xmlns="http://schemas.openxmlformats.org/spreadsheetml/2006/main" count="220" uniqueCount="137">
  <si>
    <t>Rw</t>
  </si>
  <si>
    <t>Nodo 2S6</t>
  </si>
  <si>
    <t>Nodo 3S7</t>
  </si>
  <si>
    <t>Nodo 4S8</t>
  </si>
  <si>
    <t>Nodo 1S5</t>
  </si>
  <si>
    <t>Elemento S</t>
  </si>
  <si>
    <t>Elemento 1</t>
  </si>
  <si>
    <t>Elemento 5</t>
  </si>
  <si>
    <t>Elemento 2</t>
  </si>
  <si>
    <t>Elemento 6</t>
  </si>
  <si>
    <t>Elemento 3</t>
  </si>
  <si>
    <t>Elemento 7</t>
  </si>
  <si>
    <t>Elemento 4</t>
  </si>
  <si>
    <t>Elemento 8</t>
  </si>
  <si>
    <t>m'</t>
  </si>
  <si>
    <t>s-5</t>
  </si>
  <si>
    <t>3-s</t>
  </si>
  <si>
    <t>1-s</t>
  </si>
  <si>
    <t>2-s</t>
  </si>
  <si>
    <t>s-6</t>
  </si>
  <si>
    <t>s-7</t>
  </si>
  <si>
    <t>4-s</t>
  </si>
  <si>
    <t>s-8</t>
  </si>
  <si>
    <t>M</t>
  </si>
  <si>
    <t>log(mT/mi)</t>
  </si>
  <si>
    <t>croce</t>
  </si>
  <si>
    <t>T</t>
  </si>
  <si>
    <t>Kij</t>
  </si>
  <si>
    <t>Larghezza S</t>
  </si>
  <si>
    <t>Altezza S</t>
  </si>
  <si>
    <t>Profond. I</t>
  </si>
  <si>
    <t>Profond. J</t>
  </si>
  <si>
    <t>S</t>
  </si>
  <si>
    <t>Kmin</t>
  </si>
  <si>
    <t>Rij</t>
  </si>
  <si>
    <t xml:space="preserve"> 1-5</t>
  </si>
  <si>
    <t xml:space="preserve"> 2-6</t>
  </si>
  <si>
    <t xml:space="preserve"> 3-7</t>
  </si>
  <si>
    <t xml:space="preserve"> 4-8</t>
  </si>
  <si>
    <t>Kij_eff</t>
  </si>
  <si>
    <t>tau ij</t>
  </si>
  <si>
    <t>Parete in mattoni forati da 8 cm (8 x 25 x 25), a fori orizzontali, foratura 60 %, intonacata con malta M3 con 1,5 di spessore su ambo i lati.</t>
  </si>
  <si>
    <t>Parete in mattoni forati da 8 cm (8 x 25 x 25), a fori orizzontali, foratura 60 %, intonacata con malta M3 con 1,5 di spessore su ambo i lati, con traccia per impianto elettrico (lunga 3 metri e profonda 5 cm).</t>
  </si>
  <si>
    <t>Parete in blocchi semipieni in laterizio alleggerito in pasta (alveolato) di 25 cm di spessore (25 x 30 x 19), foratura = 45%, a fori verticali, intonacata con malta M3 di 1,5 cm di spessore su ambo i lati.</t>
  </si>
  <si>
    <t>Parete a due teste di mattoni semipieni in laterizio, spessi 25 cm (12 x 25 x 5,5), foratura 0 15 %, murati di punta, intonacata con 1,5 cm di malta M3 su ambo i lati.</t>
  </si>
  <si>
    <t>Parete a tre teste di mattoni semipieni, spessa 37,5 cm, (mattoni 12 x 25 x 5,5, foratura 0 15 %), intonacata con malta M3 di 1,5 cm di spessore su ambo i lati.</t>
  </si>
  <si>
    <t>Parete a due teste di mattoni sempieni di 25 cm di spessore (12 x 25 x 5,5, foratura 0 32 %), intonacata con 1,5 cm di malta M3 su ambo i lati.</t>
  </si>
  <si>
    <t>Parete realizzata con blocchi semipieni in laterizio alleggerito in pasta (alveolato) di 30 cm di spessore, in opera a fori verticali (25 x 30 x 19, foratura = 45 %), intonacata con 1,5 cm di malta M3 su ambo i lati.</t>
  </si>
  <si>
    <t>Parete di elementi forati in laterizio, spessi 12 cm (12 x 25 x 25), foratura = 60 %, a fori orizzontali, intonacata con 1,5 cm di malta M3 su ambo i lati.</t>
  </si>
  <si>
    <t>Parete di elementi semipieni in laterizio (doppio UNI, 12 x 25 x 12, foratura 0 40 %), spessa 12 cm, intonacata con 1,5 cm di malta M3 su ambo i lati.</t>
  </si>
  <si>
    <t>Parete in blocchi semipieni in laterizio alleggerito in pasta (alveolato) spessi 45 cm (45 x 30 x 19, foratura = 45 %), a fori verticali, intonacata con 1,5 cm di malta M3 su ambo i lati.</t>
  </si>
  <si>
    <t>Parete in blocchi semipieni in laterizio alleggerito in pasta (alveolato) spessi 30 cm (30 x 25 x 19, foratura = 55 %), a fori verticali, intonacata con 1,5 cm di malta M3 su ambo i lati.</t>
  </si>
  <si>
    <t>Parete in blocchi semipieni in laterizio normale spessi 30 cm (30 x 25 x 16, foratura = 50 %), a fori verticali, intonacata con 1,5 cm di malta M3 su ambo i lati.</t>
  </si>
  <si>
    <t>Parete in mattoni forati da 8 cm (8 x 12 x 24), a fori orizzontali, foratura 60 %, intonacata con malta M3 con 1,5 di spessore su ambo i lati.</t>
  </si>
  <si>
    <t>Parete in blocchi di laterizio alleggerito in pasta (alveolato) spessi 8 cm (8 x 45 x 22,5, foratura = 45 %), a fori verticali, intonacata con 1,5 cm di malta M3 su ambo i lati.</t>
  </si>
  <si>
    <t>Parete in blocchi di laterizio alleggerito in pasta (alveolato) spessi 12 cm (12 x 45 x 22,5, foratura = 45 %), a fori verticali, intonacata con 1,5 cm di malta M3 su ambo i lati</t>
  </si>
  <si>
    <t>Parete realizzata con blocchi  di laterizio alleggerito in pasta (alveolato) di 30 cm di spessore (30 x 19 x 25, foratura = 60 %), in opera a fori orizzontali, intonacata con 1,5 cm di malta M3 su ambo i lati.</t>
  </si>
  <si>
    <t>Parete in mattoni forati da 12 cm (12 x 25 x 25), a fori orizzontali, foratura 60 %, intonacata con malta M3 con 1,5 di spessore su ambo i lati, ultimata da 2 giorni.</t>
  </si>
  <si>
    <t>Parete in mattoni forati da 12 cm (12 x 25 x 25), a fori orizzontali, foratura 60 %, intonacata con malta M3 con 1,5 di spessore su ambo i lati, con lisciatura dell'intonaco con scagliola di gesso appena eseguita.</t>
  </si>
  <si>
    <t>Parete in mattoni forati da 8 cm a 6 fori (8 x 30 x 15), a fori orizzontali, foratura 60 %, intonacata con malta M3 con 1,5 di spessore su ambo i lati.</t>
  </si>
  <si>
    <t>Parete a intercapedine composta da: forati da 8 (8x25x25, f = 60%), a fori orizzontali, intonacata  all'esterno (1,5 cm); intecapedine d'aria (4 cm); forati da 12 (12 x 25 x 25, f = 60 %) a fori orizzontali intonacati su ambo i lati (1,5 cm).</t>
  </si>
  <si>
    <t>Parete a intercapedine composta da: forati da 8 (8x25x25, f=60%), a fori orizzontali, intonacata  all'esterno (1,5 cm); intecapedine (lana di vetro 4 cm, 100 kg/m3); forati da 12 (12x25x25, f = 60%) a fori orizzontali intonacati su ambo i lati (1,5 cm)</t>
  </si>
  <si>
    <t>Parete a intercapedine composta da: forati da 12 (12x25x25, f = 60%), a fori orizzontali, intonacata  all'esterno (1,5 cm); intecapedine d'aria (2 cm); forati da 12 (12x25x25, f = 60%) a fori orizzontali intonacati su ambo i lati (1,5 cm).</t>
  </si>
  <si>
    <t>Parete a intercapedine composta da: forati da 8 (8x25x25, f = 60%), a fori orizzontali, intonacata  all'esterno (1,5 cm); intecapedine (lana di vetro 4 cm, 100 kg/m3); semipieni da 12 (12x25x12, f=40%) a fori vert. intonacati su ambo i lati (1,5 cm).</t>
  </si>
  <si>
    <t>Parete a intercapedine composta da: forati da 8 (8x25x25, f = 60%), a fori orizzontali, intonacata  all'esterno (1,5 cm); intecapedine d'aria (4 cm); semipieni da 12 (12x25x12, f = 40%) a fori verticali intonacati su ambo i lati (1,5 cm).</t>
  </si>
  <si>
    <t>Parete a intercapedine composta da: forati da 8 (8x25x25, f = 60%), a fori orizzontali, intonacata  all'esterno (1,5 cm); intecapedine d'aria (5 cm); forati da 8 (8 x 25 x 25, f = 60 %) a fori orizzontali intonacati su ambo i lati (1,5 cm).</t>
  </si>
  <si>
    <t>Parete a intercapedine composta da: forati da 8 (8x25x25, f = 60%), a fori orizz, intonacata  all'esterno (1,5 cm); intecap. (lana di vetro 4 cm 100 kg/m3); semipieni alveolati (25x30x19, f = 45%) a fori vert. intonacati su ambo i lati (1,5 cm).</t>
  </si>
  <si>
    <t>Parete a intercapedine composta da: forati da 8 (8x25x25, f = 60%), a fori orizz, intonacata  all'esterno (1,5 cm); intecap. (lana di vetro 4 cm 100 kg/m3); forati normali (25x18x13, f = 55%) a fori vert. intonacati su ambo i lati (1,5 cm).</t>
  </si>
  <si>
    <t>Parete a intercapedine composta da: forati da 8 (8x25x25, f = 60%), a fori orizzontali, intonacata  all'esterno (1,5 cm); intecapedine con argilla espansa (5 cm); forati da 8 (8 x 25 x 25, f = 60 %) a fori orizzontali intonacati su ambo i lati (1,5 cm).</t>
  </si>
  <si>
    <t>Parete a intercapedine composta da: forati da 8 (8x25x25, f = 60%), a fori orizzontali, intonacata  all'esterno (1,5 cm); intecapedine d'aria (4 cm); forati da 12 (12x25x25, f = 60%) a fori orizzontali intonacati su ambo i lati (1,5 cm).</t>
  </si>
  <si>
    <t>Parete a intercapedine composta da: forati da 8 (8x25x25, f = 60%), a fori orizzontali, intonacata  all'esterno (1,5 cm); intecapedine con argilla espansa (4 cm); forati da 12 (12x25x25, f = 60%) a fori orizzontali intonacati su ambo i lati (1,5 cm).</t>
  </si>
  <si>
    <t>Parete a intercapedine composta da: forati da 8 (8x25x25, f = 60%), a fori orizz., intonacata  all'esterno (1,5 cm); intecapedine con vermiculite M sfusa (4 cm); forati da 12 (12x25x25, f = 60%) a fori orizzontali intonacati su ambo i lati (1,5 cm).</t>
  </si>
  <si>
    <t>Parete senza intercapedine spessa 40 cm composta da blocchi semipieni in laterizio alleggerito (25x30x19, f=45%), mattono faccia a vista (12x25x5,5, f=32%), intonacata su ambo i lati.</t>
  </si>
  <si>
    <t>Parete realizzata con tavolato in tramezze normali a 10 fori (8x25x25 cm) ed intonaco sul lato esterno (spessore intonaco 1,5 cm); intercapedine di 10 cm con lana di roccia da 5 cm (densità 50 kg/m³) appoggiata al tavolato; tavolato in tramezze normali a 10 fori (8x25x25 cm) ed intonaco sul lato esterno (spessore intonaco 1,5 cm).</t>
  </si>
  <si>
    <t>Parete realizzata con tavolato in tramezze normali a 15 fori (12x25x25 cm) ed intonaco sul lato esterno (spessore intonaco 1,5 cm); intercapedine di 6 cm con lana di roccia da 5 cm (densità 50 kg/m³); tavolato in tramezze normali a 15 fori (12x25x25 cm) ed intonaco sul lato esterno (spessore intonaco 1,5 cm).</t>
  </si>
  <si>
    <t>Parete realizzata con blocchi semipieni ad incastro, alleggeriti in pasta, (38x25x24,5 cm); intonacata ambo i lati (spessore intonaco 1,5 cm).</t>
  </si>
  <si>
    <t>Parete realizzata con blocchi semipieni ad incastro, alleggeriti in pasta, (42x25x24,5 cm); intonacata ambo i lati (spessore intonaco 1,5 cm).</t>
  </si>
  <si>
    <t>Parete realizzata con blocchi semipieni ad incastro, alleggeriti in pasta, (35x25x24,5 cm); intonacata ambo i lati (spessore intonaco 1,5 cm).</t>
  </si>
  <si>
    <t>Parete realizzata con blocchi ad H, alleggeriti in pasta, con fori riempiti di malta (30x25x17 cm); intonacata ambo i lati (spessore intonaco 1,5 cm).</t>
  </si>
  <si>
    <t>Parete realizzata con un doppio tavolato in tavelle a 4 fori (6x80x25 cm), con interposto uno strato da 2 cm di materiale resiliente autoadesivo; intonacata ambo i lati (spessore intonaco 1,5 cm). Desolidarizzazione del perimetro della parete mediante fascia di neoprene.</t>
  </si>
  <si>
    <t>Parete realizzata con blocchi ad incastro, alleggeriti in pasta, a tre fori verticali (18x50x20 cm) con fori riempiti di malta; intonacata ambo i lati (spessore intonaco 1,5 cm).</t>
  </si>
  <si>
    <t>Parete realizzata con blocchi a T” tipo “Trieste, alleggeriti in pasta, (17x33x24,5 cm), con tagli verticali, montati sfalsati ed intonaco sul lato esterno (spessore intonaco 1,5 cm); intercapedine di 3 cm; tavolato in tramezze semipiene ad incastro, alleggerite in pasta, (8x50x24,5 cm) ed intonaco sul lato esterno (spessore intonaco 1,5 cm).</t>
  </si>
  <si>
    <t>Parete realizzata con blocchi a T” tipo “Trieste, alleggeriti in pasta, (17x33x24,5 cm) montati sfalsati ed intonaco sul lato esterno; intercapedine di 3 cm; tavolato in tramezze semipiene ad incastro, alleggerite in pasta, (8x50x24,5 cm) ed intonaco sul lato esterno (spessore intonaco 1,5 cm).</t>
  </si>
  <si>
    <t>Parete realizzata con tavolato in tramezze normali a 10 fori (8x25x25 cm) ed intonaco sul lato esterno (spessore intonaco 1,5 cm); intercapedine di 12 cm; tavolato in tramezze semipiene ad incastro, alleggerite in pasta, (8x50x24,5 cm) ed intonaco sul lato esterno (spessore intonaco 1,5 cm).</t>
  </si>
  <si>
    <t>Parete realizzata con tavolato in tramezze normali a 15 fori (12x25x25 cm) ed intonaco sul lato esterno (spessore intonaco 1,5 cm); intercapedine di 6 cm con lana di roccia da 5 cm (densità 50 kg/m³); tavolato in tramezze semipiene ad incastro, alleggerite in pasta, (8x50x24,5 cm) ed intonaco sul lato esterno (spessore intonaco 1,5 cm).</t>
  </si>
  <si>
    <t>Parete realizzata con blocchi ad H, alleggeriti in pasta, con fori riempiti di malta (25x30x19 cm); intonacata ambo i lati (spessore intonaco 1,5 cm).</t>
  </si>
  <si>
    <t>Parete realizzata con blocchi ad H, alleggeriti in pasta, (25x30x19 cm); intonacata ambo i lati (spessore intonaco 1,5 cm).</t>
  </si>
  <si>
    <t>Parete realizzata con tavolato in tramezze normali a 10 fori (8x50x25 cm) ed intonaco sul lato esterno (spessore intonaco 1,5 cm), intercapedine di 2 cm con fibra di poliestere compressa (spessore originario 2,5 cm, massa 0,2 kg/m²); tavolato in tavelle a 4 fori (6x80x25 cm) ed intonaco sul lato esterno (spessore intonaco 1,5 cm).</t>
  </si>
  <si>
    <t>Parete in mattoni pieni tipo UNI di laterizio normale, intonacata (stima teorica).</t>
  </si>
  <si>
    <t>Lecablocco 20</t>
  </si>
  <si>
    <t>Solaio con travetti a traliccio (interasse = 50 cm) e pignatte tipo A da 16 cm con 4 cm di soletta in calcestruzzo e 1,5 cm di intonaco all'intradosso.</t>
  </si>
  <si>
    <t>Solaio con travetti a traliccio (interasse = 50 cm) e pignatte tipo A da 20 cm con 4 cm di soletta in calcestruzzo e 1,5 cm di intonaco all'intradosso.</t>
  </si>
  <si>
    <t>Solaio con travetti precompressi (interasse = 50 cm) e pignatte tipo A da 16 cm con 4 cm di soletta in calcestruzzo e 1,5 cm di intonaco all'intradosso.</t>
  </si>
  <si>
    <t>Solaio con travetti precompressi (interasse = 50 cm) e pignatte tipo A da 20 cm con 4 cm di soletta in calcestruzzo e 1,5 cm di intonaco all'intradosso.</t>
  </si>
  <si>
    <t>Solaio con travetti precompressi (interasse = 50 cm) e pignatte tipo B da 16,5 cm con 4 cm di soletta in calcestruzzo e 1,5 cm di intonaco all'intradosso.</t>
  </si>
  <si>
    <t>Solaio con travetti precompressi (interasse = 50 cm) e pignatte tipo B da 20 cm con 4 cm di soletta in calcestruzzo e 1,5 cm di intonaco all'intradosso.</t>
  </si>
  <si>
    <t>Solaio a pannelli prefabbricati (interasse = 80 cm), con pignatte tipo B da 16,5 cm con 4 cm di soletta in calcestruzzo e 1,5 cm di intonaco all'intradosso.</t>
  </si>
  <si>
    <t>Solaio a pannelli prefabbricati (interasse = 80 cm), con pignatte tipo B da 20 cm con 4 cm di soletta in calcestruzzo e 1,5 cm di intonaco all'intradosso.</t>
  </si>
  <si>
    <t>Solaio a lastre precompresse spesse 4 cm (interasse = 120 cm), con pignatte tipo B da 12 cm con 4 cm di soletta in calcestruzzo e 1,5 cm di intonaco all'intradosso.</t>
  </si>
  <si>
    <t>Solaio con pignatte in laterizio alveolato tipo A da 20 cm  e travetti a traliccio con fondello in laterizio alveolato (interasse = 60 cm) con 4 cm di soletta in calcestruzzo e 1,5 cm di intonaco all'intradosso.</t>
  </si>
  <si>
    <t>Placcaggi acustici</t>
  </si>
  <si>
    <t>Struttura di base</t>
  </si>
  <si>
    <t>Elemento resiliente</t>
  </si>
  <si>
    <t>Strato addizionale</t>
  </si>
  <si>
    <t>m'=</t>
  </si>
  <si>
    <t>s'=</t>
  </si>
  <si>
    <t>f0=</t>
  </si>
  <si>
    <t>Strato fissato</t>
  </si>
  <si>
    <t>Cavità/non collegato</t>
  </si>
  <si>
    <t>Spessore cavità</t>
  </si>
  <si>
    <t>d=</t>
  </si>
  <si>
    <t>Rw=</t>
  </si>
  <si>
    <r>
      <t>D</t>
    </r>
    <r>
      <rPr>
        <sz val="10"/>
        <rFont val="Arial"/>
        <family val="0"/>
      </rPr>
      <t>Rw=</t>
    </r>
  </si>
  <si>
    <t>frazione</t>
  </si>
  <si>
    <t>Lunghezza S</t>
  </si>
  <si>
    <t>Altezza  I</t>
  </si>
  <si>
    <t>Altezza J</t>
  </si>
  <si>
    <t>LnW=</t>
  </si>
  <si>
    <t>dB</t>
  </si>
  <si>
    <t>Tipologia</t>
  </si>
  <si>
    <t>cls</t>
  </si>
  <si>
    <r>
      <t>D</t>
    </r>
    <r>
      <rPr>
        <sz val="10"/>
        <rFont val="Arial"/>
        <family val="0"/>
      </rPr>
      <t>Lnw=</t>
    </r>
  </si>
  <si>
    <t>Massa media strutture laterali =</t>
  </si>
  <si>
    <t>Massa elemento divisorio =</t>
  </si>
  <si>
    <t>K=</t>
  </si>
  <si>
    <t>R'w</t>
  </si>
  <si>
    <t>L'n,w</t>
  </si>
  <si>
    <t>Descrizione</t>
  </si>
  <si>
    <t>&lt;lato emit.</t>
  </si>
  <si>
    <t>&lt;lato ricev.</t>
  </si>
  <si>
    <r>
      <t>D</t>
    </r>
    <r>
      <rPr>
        <b/>
        <sz val="10"/>
        <rFont val="Arial"/>
        <family val="0"/>
      </rPr>
      <t>Rw</t>
    </r>
  </si>
  <si>
    <r>
      <t>D</t>
    </r>
    <r>
      <rPr>
        <b/>
        <sz val="10"/>
        <rFont val="Arial"/>
        <family val="0"/>
      </rPr>
      <t>Rw_eff</t>
    </r>
  </si>
  <si>
    <t>Livello normalizzato di calpestio</t>
  </si>
  <si>
    <t>Il presente foglio di lavoro è da intendersi per esclusivo scopo didattico</t>
  </si>
  <si>
    <t>L'autore non offre alcuna garanzia sulla correttezza dei risultati e su ogni loro</t>
  </si>
  <si>
    <t>utilizzo non strettamente didattico. Per ogni segnalazione contattare:</t>
  </si>
  <si>
    <t>Francesco Martellotta (f.martellotta@poliba.it)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</si>
</sst>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0.0"/>
    <numFmt numFmtId="168" formatCode="0.0000E+00"/>
    <numFmt numFmtId="169" formatCode="0.000E+00"/>
    <numFmt numFmtId="170" formatCode="0.0E+00"/>
  </numFmts>
  <fonts count="18">
    <font>
      <sz val="10"/>
      <name val="Arial"/>
      <family val="0"/>
    </font>
    <font>
      <sz val="8"/>
      <name val="Arial"/>
      <family val="0"/>
    </font>
    <font>
      <sz val="18"/>
      <color indexed="8"/>
      <name val="Arial"/>
      <family val="0"/>
    </font>
    <font>
      <sz val="10"/>
      <name val="Symbol"/>
      <family val="1"/>
    </font>
    <font>
      <sz val="10"/>
      <color indexed="55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7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8" fillId="0" borderId="0" xfId="0" applyFont="1" applyAlignment="1">
      <alignment/>
    </xf>
    <xf numFmtId="167" fontId="0" fillId="0" borderId="8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12" fillId="0" borderId="0" xfId="0" applyFont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/>
      <protection hidden="1"/>
    </xf>
    <xf numFmtId="9" fontId="0" fillId="0" borderId="0" xfId="19" applyAlignment="1" applyProtection="1">
      <alignment horizontal="center"/>
      <protection hidden="1"/>
    </xf>
    <xf numFmtId="167" fontId="4" fillId="0" borderId="0" xfId="0" applyNumberFormat="1" applyFont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70" fontId="0" fillId="2" borderId="0" xfId="0" applyNumberFormat="1" applyFill="1" applyAlignment="1" applyProtection="1">
      <alignment/>
      <protection hidden="1"/>
    </xf>
    <xf numFmtId="9" fontId="0" fillId="2" borderId="0" xfId="19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67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70" fontId="0" fillId="0" borderId="1" xfId="0" applyNumberFormat="1" applyBorder="1" applyAlignment="1" applyProtection="1">
      <alignment/>
      <protection hidden="1"/>
    </xf>
    <xf numFmtId="9" fontId="0" fillId="0" borderId="1" xfId="19" applyBorder="1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1" fontId="16" fillId="3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3" borderId="0" xfId="0" applyFont="1" applyFill="1" applyAlignment="1" applyProtection="1">
      <alignment horizontal="center"/>
      <protection/>
    </xf>
    <xf numFmtId="1" fontId="16" fillId="3" borderId="0" xfId="0" applyNumberFormat="1" applyFont="1" applyFill="1" applyAlignment="1" applyProtection="1">
      <alignment horizontal="center"/>
      <protection/>
    </xf>
    <xf numFmtId="170" fontId="0" fillId="0" borderId="0" xfId="0" applyNumberFormat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right"/>
      <protection/>
    </xf>
    <xf numFmtId="167" fontId="0" fillId="0" borderId="8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67" fontId="0" fillId="0" borderId="5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" fontId="12" fillId="0" borderId="0" xfId="0" applyNumberFormat="1" applyFont="1" applyBorder="1" applyAlignment="1" applyProtection="1">
      <alignment horizontal="center"/>
      <protection/>
    </xf>
    <xf numFmtId="1" fontId="12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7" fontId="0" fillId="2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hidden="1"/>
    </xf>
    <xf numFmtId="167" fontId="4" fillId="0" borderId="0" xfId="0" applyNumberFormat="1" applyFont="1" applyAlignment="1" applyProtection="1">
      <alignment horizontal="right"/>
      <protection hidden="1"/>
    </xf>
    <xf numFmtId="9" fontId="0" fillId="2" borderId="0" xfId="19" applyFill="1" applyAlignment="1" applyProtection="1">
      <alignment horizontal="center"/>
      <protection hidden="1"/>
    </xf>
    <xf numFmtId="9" fontId="0" fillId="0" borderId="0" xfId="19" applyAlignment="1" applyProtection="1">
      <alignment horizontal="center"/>
      <protection hidden="1"/>
    </xf>
    <xf numFmtId="9" fontId="0" fillId="0" borderId="1" xfId="19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/>
    </xf>
    <xf numFmtId="9" fontId="0" fillId="0" borderId="3" xfId="19" applyBorder="1" applyAlignment="1" applyProtection="1">
      <alignment horizontal="center" vertical="center"/>
      <protection hidden="1"/>
    </xf>
    <xf numFmtId="9" fontId="0" fillId="0" borderId="0" xfId="19" applyAlignment="1" applyProtection="1">
      <alignment horizontal="center" vertical="center"/>
      <protection hidden="1"/>
    </xf>
    <xf numFmtId="167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0" fontId="0" fillId="0" borderId="3" xfId="0" applyNumberForma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9" fontId="0" fillId="0" borderId="3" xfId="19" applyBorder="1" applyAlignment="1" applyProtection="1">
      <alignment horizontal="center" vertical="center"/>
      <protection hidden="1"/>
    </xf>
    <xf numFmtId="9" fontId="0" fillId="0" borderId="0" xfId="19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3</xdr:col>
      <xdr:colOff>257175</xdr:colOff>
      <xdr:row>7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66675" y="9525"/>
          <a:ext cx="2181225" cy="1257300"/>
          <a:chOff x="394" y="3529"/>
          <a:chExt cx="1374" cy="791"/>
        </a:xfrm>
        <a:solidFill>
          <a:srgbClr val="FFFFFF"/>
        </a:solidFill>
      </xdr:grpSpPr>
      <xdr:grpSp>
        <xdr:nvGrpSpPr>
          <xdr:cNvPr id="3" name="Group 18"/>
          <xdr:cNvGrpSpPr>
            <a:grpSpLocks/>
          </xdr:cNvGrpSpPr>
        </xdr:nvGrpSpPr>
        <xdr:grpSpPr>
          <a:xfrm>
            <a:off x="394" y="3529"/>
            <a:ext cx="1374" cy="652"/>
            <a:chOff x="282" y="3529"/>
            <a:chExt cx="1374" cy="652"/>
          </a:xfrm>
          <a:solidFill>
            <a:srgbClr val="FFFFFF"/>
          </a:solidFill>
        </xdr:grpSpPr>
        <xdr:sp>
          <xdr:nvSpPr>
            <xdr:cNvPr id="4" name="AutoShape 19"/>
            <xdr:cNvSpPr>
              <a:spLocks/>
            </xdr:cNvSpPr>
          </xdr:nvSpPr>
          <xdr:spPr>
            <a:xfrm rot="5400000">
              <a:off x="177" y="3793"/>
              <a:ext cx="491" cy="276"/>
            </a:xfrm>
            <a:prstGeom prst="parallelogram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20"/>
            <xdr:cNvSpPr>
              <a:spLocks/>
            </xdr:cNvSpPr>
          </xdr:nvSpPr>
          <xdr:spPr>
            <a:xfrm rot="5400000">
              <a:off x="708" y="3793"/>
              <a:ext cx="491" cy="276"/>
            </a:xfrm>
            <a:prstGeom prst="parallelogram">
              <a:avLst/>
            </a:prstGeom>
            <a:solidFill>
              <a:srgbClr val="FF33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21"/>
            <xdr:cNvSpPr>
              <a:spLocks/>
            </xdr:cNvSpPr>
          </xdr:nvSpPr>
          <xdr:spPr>
            <a:xfrm rot="5400000">
              <a:off x="1270" y="3793"/>
              <a:ext cx="491" cy="276"/>
            </a:xfrm>
            <a:prstGeom prst="parallelogram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3"/>
            <xdr:cNvSpPr>
              <a:spLocks/>
            </xdr:cNvSpPr>
          </xdr:nvSpPr>
          <xdr:spPr>
            <a:xfrm>
              <a:off x="284" y="3684"/>
              <a:ext cx="109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24"/>
            <xdr:cNvSpPr>
              <a:spLocks/>
            </xdr:cNvSpPr>
          </xdr:nvSpPr>
          <xdr:spPr>
            <a:xfrm>
              <a:off x="561" y="3805"/>
              <a:ext cx="109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25"/>
            <xdr:cNvSpPr>
              <a:spLocks/>
            </xdr:cNvSpPr>
          </xdr:nvSpPr>
          <xdr:spPr>
            <a:xfrm>
              <a:off x="561" y="4181"/>
              <a:ext cx="109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26"/>
            <xdr:cNvSpPr>
              <a:spLocks/>
            </xdr:cNvSpPr>
          </xdr:nvSpPr>
          <xdr:spPr>
            <a:xfrm>
              <a:off x="284" y="4054"/>
              <a:ext cx="109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3</xdr:col>
      <xdr:colOff>371475</xdr:colOff>
      <xdr:row>7</xdr:row>
      <xdr:rowOff>152400</xdr:rowOff>
    </xdr:to>
    <xdr:grpSp>
      <xdr:nvGrpSpPr>
        <xdr:cNvPr id="1" name="Group 2"/>
        <xdr:cNvGrpSpPr>
          <a:grpSpLocks/>
        </xdr:cNvGrpSpPr>
      </xdr:nvGrpSpPr>
      <xdr:grpSpPr>
        <a:xfrm>
          <a:off x="361950" y="9525"/>
          <a:ext cx="2000250" cy="1276350"/>
          <a:chOff x="2265" y="1963"/>
          <a:chExt cx="1260" cy="1176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 rot="10800000">
            <a:off x="2344" y="1963"/>
            <a:ext cx="720" cy="231"/>
          </a:xfrm>
          <a:prstGeom prst="parallelogram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 rot="10800000">
            <a:off x="2344" y="2409"/>
            <a:ext cx="720" cy="231"/>
          </a:xfrm>
          <a:prstGeom prst="parallelogram">
            <a:avLst/>
          </a:prstGeom>
          <a:solidFill>
            <a:srgbClr val="FF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 rot="10800000">
            <a:off x="2344" y="2879"/>
            <a:ext cx="720" cy="230"/>
          </a:xfrm>
          <a:prstGeom prst="parallelogram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rot="5400000">
            <a:off x="2610" y="2422"/>
            <a:ext cx="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 rot="5400000">
            <a:off x="2431" y="2654"/>
            <a:ext cx="9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rot="5400000">
            <a:off x="1881" y="2654"/>
            <a:ext cx="9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 rot="5400000">
            <a:off x="2068" y="2422"/>
            <a:ext cx="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31"/>
  <sheetViews>
    <sheetView tabSelected="1" workbookViewId="0" topLeftCell="A1">
      <selection activeCell="L39" sqref="L39"/>
    </sheetView>
  </sheetViews>
  <sheetFormatPr defaultColWidth="9.140625" defaultRowHeight="12.75"/>
  <cols>
    <col min="1" max="1" width="11.57421875" style="0" customWidth="1"/>
    <col min="2" max="8" width="9.140625" style="1" customWidth="1"/>
    <col min="10" max="11" width="9.140625" style="1" customWidth="1"/>
    <col min="13" max="13" width="8.57421875" style="0" customWidth="1"/>
  </cols>
  <sheetData>
    <row r="1" spans="5:8" ht="12.75">
      <c r="E1" s="2" t="s">
        <v>28</v>
      </c>
      <c r="F1" s="81">
        <v>4.9</v>
      </c>
      <c r="H1" s="89" t="s">
        <v>133</v>
      </c>
    </row>
    <row r="2" spans="5:8" ht="12.75">
      <c r="E2" s="2" t="s">
        <v>29</v>
      </c>
      <c r="F2" s="81">
        <v>2.7</v>
      </c>
      <c r="H2" s="89" t="s">
        <v>134</v>
      </c>
    </row>
    <row r="3" spans="5:8" ht="12.75">
      <c r="E3" s="1" t="s">
        <v>30</v>
      </c>
      <c r="F3" s="81">
        <v>5</v>
      </c>
      <c r="H3" s="89" t="s">
        <v>135</v>
      </c>
    </row>
    <row r="4" spans="5:8" ht="12.75">
      <c r="E4" s="1" t="s">
        <v>31</v>
      </c>
      <c r="F4" s="81">
        <v>5</v>
      </c>
      <c r="H4" s="89" t="s">
        <v>136</v>
      </c>
    </row>
    <row r="5" ht="12.75"/>
    <row r="6" ht="12.75"/>
    <row r="7" ht="12.75"/>
    <row r="8" ht="12.75"/>
    <row r="9" spans="1:14" ht="12.75">
      <c r="A9" s="3"/>
      <c r="B9" s="30" t="s">
        <v>0</v>
      </c>
      <c r="C9" s="30" t="s">
        <v>14</v>
      </c>
      <c r="D9" s="30" t="s">
        <v>32</v>
      </c>
      <c r="E9" s="31" t="s">
        <v>130</v>
      </c>
      <c r="F9" s="30"/>
      <c r="G9" s="30" t="s">
        <v>23</v>
      </c>
      <c r="H9" s="30" t="s">
        <v>27</v>
      </c>
      <c r="I9" s="30" t="s">
        <v>33</v>
      </c>
      <c r="J9" s="30" t="s">
        <v>39</v>
      </c>
      <c r="K9" s="31" t="s">
        <v>131</v>
      </c>
      <c r="L9" s="30" t="s">
        <v>34</v>
      </c>
      <c r="M9" s="30" t="s">
        <v>40</v>
      </c>
      <c r="N9" s="30" t="s">
        <v>113</v>
      </c>
    </row>
    <row r="10" spans="1:14" ht="12.75">
      <c r="A10" s="101" t="s">
        <v>5</v>
      </c>
      <c r="B10" s="102">
        <v>48</v>
      </c>
      <c r="C10" s="102">
        <v>208</v>
      </c>
      <c r="D10" s="103">
        <f>F1*F2</f>
        <v>13.230000000000002</v>
      </c>
      <c r="E10" s="81">
        <v>0</v>
      </c>
      <c r="F10" s="1" t="s">
        <v>128</v>
      </c>
      <c r="G10" s="90" t="s">
        <v>24</v>
      </c>
      <c r="H10" s="35"/>
      <c r="I10" s="34"/>
      <c r="J10" s="35"/>
      <c r="K10" s="35"/>
      <c r="L10" s="98">
        <f>B10+E10+E11</f>
        <v>63</v>
      </c>
      <c r="M10" s="100">
        <f>10^(-L10/10)</f>
        <v>5.011872336272722E-07</v>
      </c>
      <c r="N10" s="96">
        <f>M10/M$24</f>
        <v>0.07971191532476556</v>
      </c>
    </row>
    <row r="11" spans="1:14" ht="12.75">
      <c r="A11" s="101"/>
      <c r="B11" s="102"/>
      <c r="C11" s="102"/>
      <c r="D11" s="103"/>
      <c r="E11" s="81">
        <v>15</v>
      </c>
      <c r="F11" s="1" t="s">
        <v>129</v>
      </c>
      <c r="G11" s="35"/>
      <c r="H11" s="35"/>
      <c r="I11" s="35"/>
      <c r="J11" s="35"/>
      <c r="K11" s="35"/>
      <c r="L11" s="99"/>
      <c r="M11" s="99"/>
      <c r="N11" s="97"/>
    </row>
    <row r="12" spans="1:14" ht="12.75">
      <c r="A12" s="27" t="s">
        <v>6</v>
      </c>
      <c r="B12" s="82">
        <v>48</v>
      </c>
      <c r="C12" s="82">
        <v>280</v>
      </c>
      <c r="D12" s="83">
        <f>F2*F3</f>
        <v>13.5</v>
      </c>
      <c r="E12" s="82">
        <v>0</v>
      </c>
      <c r="F12" s="28" t="s">
        <v>17</v>
      </c>
      <c r="G12" s="41">
        <f>LOG10(C$10/C12)</f>
        <v>-0.12909469637945767</v>
      </c>
      <c r="H12" s="42">
        <f>IF(C14=1,8.7+5.7*G12^2,5.7+5.7*G12^2)</f>
        <v>5.794993011609835</v>
      </c>
      <c r="I12" s="42">
        <f>10*LOG10(F$2*(1/D12+1/D$10))</f>
        <v>-3.935308897669825</v>
      </c>
      <c r="J12" s="42">
        <f>MAX(H12,I12)</f>
        <v>5.794993011609835</v>
      </c>
      <c r="K12" s="43">
        <f>MAX(E12,E$11)+MIN(E$11,E12)/2</f>
        <v>15</v>
      </c>
      <c r="L12" s="42">
        <f>(B12+B$10)/2+K12+J12+10*LOG10(D$10/F$2)</f>
        <v>75.69695381189497</v>
      </c>
      <c r="M12" s="44">
        <f>10^(-L12/10)</f>
        <v>2.693423337565684E-08</v>
      </c>
      <c r="N12" s="92">
        <f aca="true" t="shared" si="0" ref="N12:N23">M12/M$24</f>
        <v>0.0042837869485209575</v>
      </c>
    </row>
    <row r="13" spans="1:14" ht="12.75">
      <c r="A13" s="27" t="s">
        <v>7</v>
      </c>
      <c r="B13" s="82">
        <v>48</v>
      </c>
      <c r="C13" s="82">
        <v>280</v>
      </c>
      <c r="D13" s="83">
        <f>F2*F4</f>
        <v>13.5</v>
      </c>
      <c r="E13" s="82">
        <v>0</v>
      </c>
      <c r="F13" s="28" t="s">
        <v>15</v>
      </c>
      <c r="G13" s="41">
        <f>LOG10(C13/C$10)</f>
        <v>0.1290946963794577</v>
      </c>
      <c r="H13" s="42">
        <f>IF(C14=1,8.7+5.7*G13^2,5.7+5.7*G13^2)</f>
        <v>5.794993011609835</v>
      </c>
      <c r="I13" s="42">
        <f>10*LOG10(F$2*(1/D$10+1/D13))</f>
        <v>-3.935308897669825</v>
      </c>
      <c r="J13" s="42">
        <f aca="true" t="shared" si="1" ref="J13:J23">MAX(H13,I13)</f>
        <v>5.794993011609835</v>
      </c>
      <c r="K13" s="43">
        <f>MAX(E13,E$10)+MIN(E13,E$10)/2</f>
        <v>0</v>
      </c>
      <c r="L13" s="42">
        <f>(B13+B$10)/2+K13+J13+10*LOG10(D$10/F$2)</f>
        <v>60.69695381189497</v>
      </c>
      <c r="M13" s="44">
        <f aca="true" t="shared" si="2" ref="M13:M23">10^(-L13/10)</f>
        <v>8.517352449760131E-07</v>
      </c>
      <c r="N13" s="92">
        <f t="shared" si="0"/>
        <v>0.13546523768228716</v>
      </c>
    </row>
    <row r="14" spans="1:14" ht="12.75">
      <c r="A14" s="27" t="s">
        <v>4</v>
      </c>
      <c r="B14" s="82" t="s">
        <v>26</v>
      </c>
      <c r="C14" s="84">
        <f>IF(B14="croce",1,2)</f>
        <v>2</v>
      </c>
      <c r="D14" s="83"/>
      <c r="E14" s="82"/>
      <c r="F14" s="28" t="s">
        <v>35</v>
      </c>
      <c r="G14" s="41">
        <f>LOG10(C$10/C12)</f>
        <v>-0.12909469637945767</v>
      </c>
      <c r="H14" s="42">
        <f>IF(C14=1,8.7+17.1*G14+5.7*G14^2,5.7+14.1*G14+5.7*G14^2)</f>
        <v>3.974757792659482</v>
      </c>
      <c r="I14" s="42">
        <f>10*LOG10(F$2*(1/D12+1/D13))</f>
        <v>-3.979400086720376</v>
      </c>
      <c r="J14" s="42">
        <f t="shared" si="1"/>
        <v>3.974757792659482</v>
      </c>
      <c r="K14" s="43">
        <f>MAX(E12:E13)+MIN(E12:E13)/2</f>
        <v>0</v>
      </c>
      <c r="L14" s="42">
        <f>(B12+B13)/2+J14+K14+10*LOG10(D$10/F$2)</f>
        <v>58.87671859294462</v>
      </c>
      <c r="M14" s="44">
        <f t="shared" si="2"/>
        <v>1.2951740689710412E-06</v>
      </c>
      <c r="N14" s="92">
        <f t="shared" si="0"/>
        <v>0.20599248901345885</v>
      </c>
    </row>
    <row r="15" spans="1:14" ht="12.75">
      <c r="A15" t="s">
        <v>8</v>
      </c>
      <c r="B15" s="81">
        <v>49</v>
      </c>
      <c r="C15" s="81">
        <v>340</v>
      </c>
      <c r="D15" s="85">
        <f>F1*F3</f>
        <v>24.5</v>
      </c>
      <c r="E15" s="81">
        <v>0</v>
      </c>
      <c r="F15" s="22" t="s">
        <v>18</v>
      </c>
      <c r="G15" s="46">
        <f>LOG10(C$10/C15)</f>
        <v>-0.21341558207949354</v>
      </c>
      <c r="H15" s="37">
        <f>IF(C17=1,8.7+5.7*G15^2,5.7+5.7*G15^2)</f>
        <v>8.959613400843676</v>
      </c>
      <c r="I15" s="37">
        <f>10*LOG10(F$1*(1/D15+1/D$10))</f>
        <v>-2.4384304332252422</v>
      </c>
      <c r="J15" s="37">
        <f t="shared" si="1"/>
        <v>8.959613400843676</v>
      </c>
      <c r="K15" s="35">
        <f>MAX(E15,E$11)+MIN(E$11,E15)/2</f>
        <v>15</v>
      </c>
      <c r="L15" s="37">
        <f>(B15+B$10)/2+K15+J15+10*LOG10(D$10/F$1)</f>
        <v>76.77325104243356</v>
      </c>
      <c r="M15" s="38">
        <f t="shared" si="2"/>
        <v>2.1022041822165656E-08</v>
      </c>
      <c r="N15" s="93">
        <f t="shared" si="0"/>
        <v>0.0033434754623625457</v>
      </c>
    </row>
    <row r="16" spans="1:14" ht="12.75">
      <c r="A16" t="s">
        <v>9</v>
      </c>
      <c r="B16" s="81">
        <v>49</v>
      </c>
      <c r="C16" s="81">
        <v>340</v>
      </c>
      <c r="D16" s="85">
        <f>F1*F4</f>
        <v>24.5</v>
      </c>
      <c r="E16" s="81">
        <v>0</v>
      </c>
      <c r="F16" s="22" t="s">
        <v>19</v>
      </c>
      <c r="G16" s="46">
        <f>LOG10(C16/C$10)</f>
        <v>0.21341558207949357</v>
      </c>
      <c r="H16" s="37">
        <f>IF(C17=1,8.7+5.7*G16^2,5.7+5.7*G16^2)</f>
        <v>8.959613400843676</v>
      </c>
      <c r="I16" s="37">
        <f>10*LOG10(F$1*(1/D$10+1/D16))</f>
        <v>-2.4384304332252422</v>
      </c>
      <c r="J16" s="37">
        <f t="shared" si="1"/>
        <v>8.959613400843676</v>
      </c>
      <c r="K16" s="35">
        <f>MAX(E16,E$10)+MIN(E16,E$10)/2</f>
        <v>0</v>
      </c>
      <c r="L16" s="37">
        <f>(B16+B$10)/2+K16+J16+10*LOG10(D$10/F$1)</f>
        <v>61.77325104243355</v>
      </c>
      <c r="M16" s="38">
        <f t="shared" si="2"/>
        <v>6.647753322536006E-07</v>
      </c>
      <c r="N16" s="93">
        <f t="shared" si="0"/>
        <v>0.10572997761950258</v>
      </c>
    </row>
    <row r="17" spans="1:14" ht="12.75">
      <c r="A17" t="s">
        <v>1</v>
      </c>
      <c r="B17" s="81" t="s">
        <v>25</v>
      </c>
      <c r="C17" s="86">
        <f>IF(B17="croce",1,2)</f>
        <v>1</v>
      </c>
      <c r="D17" s="85"/>
      <c r="E17" s="81"/>
      <c r="F17" s="22" t="s">
        <v>36</v>
      </c>
      <c r="G17" s="46">
        <f>LOG10(C$10/C15)</f>
        <v>-0.21341558207949354</v>
      </c>
      <c r="H17" s="37">
        <f>IF(C17=1,8.7+17.1*G17+5.7*G17^2,5.7+14.1*G17+5.7*G17^2)</f>
        <v>5.3102069472843345</v>
      </c>
      <c r="I17" s="37">
        <f>10*LOG10(F$1*(1/D15+1/D16))</f>
        <v>-3.979400086720376</v>
      </c>
      <c r="J17" s="37">
        <f t="shared" si="1"/>
        <v>5.3102069472843345</v>
      </c>
      <c r="K17" s="35">
        <f>MAX(E15:E16)+MIN(E15:E16)/2</f>
        <v>0</v>
      </c>
      <c r="L17" s="37">
        <f>(B15+B16)/2+J17+K17+10*LOG10(D$10/F$1)</f>
        <v>58.623844588874206</v>
      </c>
      <c r="M17" s="38">
        <f t="shared" si="2"/>
        <v>1.3728261435481575E-06</v>
      </c>
      <c r="N17" s="93">
        <f t="shared" si="0"/>
        <v>0.21834275489849686</v>
      </c>
    </row>
    <row r="18" spans="1:14" ht="12.75">
      <c r="A18" s="27" t="s">
        <v>10</v>
      </c>
      <c r="B18" s="82">
        <v>42</v>
      </c>
      <c r="C18" s="82">
        <v>115</v>
      </c>
      <c r="D18" s="83">
        <f>F2*F3</f>
        <v>13.5</v>
      </c>
      <c r="E18" s="82">
        <v>0</v>
      </c>
      <c r="F18" s="28" t="s">
        <v>16</v>
      </c>
      <c r="G18" s="41">
        <f>LOG10(C$10/C18)</f>
        <v>0.25736549460914987</v>
      </c>
      <c r="H18" s="42">
        <f>IF(C20=1,8.7+5.7*G18^2,5.7+5.7*G18^2)</f>
        <v>9.077550887547849</v>
      </c>
      <c r="I18" s="42">
        <f>10*LOG10(F$2*(1/D18+1/D$10))</f>
        <v>-3.935308897669825</v>
      </c>
      <c r="J18" s="42">
        <f t="shared" si="1"/>
        <v>9.077550887547849</v>
      </c>
      <c r="K18" s="43">
        <f>MAX(E18,E$11)+MIN(E$11,E18)/2</f>
        <v>15</v>
      </c>
      <c r="L18" s="42">
        <f>(B18+B$10)/2+K18+J18+10*LOG10(D$10/F$2)</f>
        <v>75.97951168783298</v>
      </c>
      <c r="M18" s="44">
        <f t="shared" si="2"/>
        <v>2.5237645236434487E-08</v>
      </c>
      <c r="N18" s="92">
        <f t="shared" si="0"/>
        <v>0.004013951084754185</v>
      </c>
    </row>
    <row r="19" spans="1:14" ht="12.75">
      <c r="A19" s="27" t="s">
        <v>11</v>
      </c>
      <c r="B19" s="82">
        <v>42</v>
      </c>
      <c r="C19" s="82">
        <v>115</v>
      </c>
      <c r="D19" s="83">
        <f>F2*F4</f>
        <v>13.5</v>
      </c>
      <c r="E19" s="82">
        <v>0</v>
      </c>
      <c r="F19" s="28" t="s">
        <v>20</v>
      </c>
      <c r="G19" s="41">
        <f>LOG10(C19/C$10)</f>
        <v>-0.2573654946091498</v>
      </c>
      <c r="H19" s="42">
        <f>IF(C20=1,8.7+5.7*G19^2,5.7+5.7*G19^2)</f>
        <v>9.077550887547849</v>
      </c>
      <c r="I19" s="42">
        <f>10*LOG10(F$2*(1/D$10+1/D19))</f>
        <v>-3.935308897669825</v>
      </c>
      <c r="J19" s="42">
        <f t="shared" si="1"/>
        <v>9.077550887547849</v>
      </c>
      <c r="K19" s="43">
        <f>MAX(E19,E$10)+MIN(E19,E$10)/2</f>
        <v>0</v>
      </c>
      <c r="L19" s="42">
        <f>(B19+B$10)/2+K19+J19+10*LOG10(D$10/F$2)</f>
        <v>60.97951168783299</v>
      </c>
      <c r="M19" s="44">
        <f t="shared" si="2"/>
        <v>7.980844172643169E-07</v>
      </c>
      <c r="N19" s="92">
        <f t="shared" si="0"/>
        <v>0.12693227844326793</v>
      </c>
    </row>
    <row r="20" spans="1:14" ht="12.75">
      <c r="A20" s="27" t="s">
        <v>2</v>
      </c>
      <c r="B20" s="82" t="s">
        <v>25</v>
      </c>
      <c r="C20" s="84">
        <f>IF(B20="croce",1,2)</f>
        <v>1</v>
      </c>
      <c r="D20" s="83"/>
      <c r="E20" s="82"/>
      <c r="F20" s="28" t="s">
        <v>37</v>
      </c>
      <c r="G20" s="41">
        <f>LOG10(C$10/C18)</f>
        <v>0.25736549460914987</v>
      </c>
      <c r="H20" s="42">
        <f>IF(C20=1,8.7+17.1*G20+5.7*G20^2,5.7+14.1*G20+5.7*G20^2)</f>
        <v>13.478500845364312</v>
      </c>
      <c r="I20" s="42">
        <f>10*LOG10(F$2*(1/D18+1/D19))</f>
        <v>-3.979400086720376</v>
      </c>
      <c r="J20" s="42">
        <f t="shared" si="1"/>
        <v>13.478500845364312</v>
      </c>
      <c r="K20" s="43">
        <f>MAX(E18:E19)+MIN(E18:E19)/2</f>
        <v>0</v>
      </c>
      <c r="L20" s="42">
        <f>(B18+B19)/2+J20+K20+10*LOG10(D$10/F$2)</f>
        <v>62.38046164564945</v>
      </c>
      <c r="M20" s="44">
        <f t="shared" si="2"/>
        <v>5.780346003110101E-07</v>
      </c>
      <c r="N20" s="92">
        <f t="shared" si="0"/>
        <v>0.0919341954927814</v>
      </c>
    </row>
    <row r="21" spans="1:14" ht="12.75">
      <c r="A21" t="s">
        <v>12</v>
      </c>
      <c r="B21" s="81">
        <v>49</v>
      </c>
      <c r="C21" s="81">
        <v>340</v>
      </c>
      <c r="D21" s="85">
        <f>F1*F3</f>
        <v>24.5</v>
      </c>
      <c r="E21" s="81">
        <v>9</v>
      </c>
      <c r="F21" s="22" t="s">
        <v>21</v>
      </c>
      <c r="G21" s="46">
        <f>LOG10(C$10/C21)</f>
        <v>-0.21341558207949354</v>
      </c>
      <c r="H21" s="37">
        <f>IF(C23=1,8.7+5.7*G21^2,5.7+5.7*G21^2)</f>
        <v>8.959613400843676</v>
      </c>
      <c r="I21" s="37">
        <f>10*LOG10(F$1*(1/D21+1/D$10))</f>
        <v>-2.4384304332252422</v>
      </c>
      <c r="J21" s="37">
        <f t="shared" si="1"/>
        <v>8.959613400843676</v>
      </c>
      <c r="K21" s="35">
        <f>MAX(E21,E$11)+MIN(E$11,E21)/2</f>
        <v>19.5</v>
      </c>
      <c r="L21" s="37">
        <f>(B21+B$10)/2+K21+J21+10*LOG10(D$10/F$1)</f>
        <v>81.27325104243356</v>
      </c>
      <c r="M21" s="38">
        <f t="shared" si="2"/>
        <v>7.45890190753257E-09</v>
      </c>
      <c r="N21" s="93">
        <f t="shared" si="0"/>
        <v>0.0011863098606201515</v>
      </c>
    </row>
    <row r="22" spans="1:14" ht="12.75">
      <c r="A22" t="s">
        <v>13</v>
      </c>
      <c r="B22" s="81">
        <v>49</v>
      </c>
      <c r="C22" s="81">
        <v>340</v>
      </c>
      <c r="D22" s="85">
        <f>F1*F4</f>
        <v>24.5</v>
      </c>
      <c r="E22" s="81">
        <v>9</v>
      </c>
      <c r="F22" s="22" t="s">
        <v>22</v>
      </c>
      <c r="G22" s="46">
        <f>LOG10(C22/C$10)</f>
        <v>0.21341558207949357</v>
      </c>
      <c r="H22" s="37">
        <f>IF(C23=1,8.7+5.7*G22^2,5.7+5.7*G22^2)</f>
        <v>8.959613400843676</v>
      </c>
      <c r="I22" s="37">
        <f>10*LOG10(F$1*(1/D$10+1/D22))</f>
        <v>-2.4384304332252422</v>
      </c>
      <c r="J22" s="37">
        <f t="shared" si="1"/>
        <v>8.959613400843676</v>
      </c>
      <c r="K22" s="35">
        <f>MAX(E22,E$10)+MIN(E22,E$10)/2</f>
        <v>9</v>
      </c>
      <c r="L22" s="37">
        <f>(B22+B$10)/2+K22+J22+10*LOG10(D$10/F$1)</f>
        <v>70.77325104243356</v>
      </c>
      <c r="M22" s="38">
        <f t="shared" si="2"/>
        <v>8.369025589079668E-08</v>
      </c>
      <c r="N22" s="93">
        <f t="shared" si="0"/>
        <v>0.013310615561362012</v>
      </c>
    </row>
    <row r="23" spans="1:14" ht="12.75">
      <c r="A23" s="3" t="s">
        <v>3</v>
      </c>
      <c r="B23" s="76" t="s">
        <v>25</v>
      </c>
      <c r="C23" s="87">
        <f>IF(B23="croce",1,2)</f>
        <v>1</v>
      </c>
      <c r="D23" s="88"/>
      <c r="E23" s="76"/>
      <c r="F23" s="26" t="s">
        <v>38</v>
      </c>
      <c r="G23" s="47">
        <f>LOG10(C$10/C21)</f>
        <v>-0.21341558207949354</v>
      </c>
      <c r="H23" s="48">
        <f>IF(C23=1,8.7+17.1*G23+5.7*G23^2,5.7+14.1*G23+5.7*G23^2)</f>
        <v>5.3102069472843345</v>
      </c>
      <c r="I23" s="48">
        <f>10*LOG10(F$1*(1/D21+1/D22))</f>
        <v>-3.979400086720376</v>
      </c>
      <c r="J23" s="48">
        <f t="shared" si="1"/>
        <v>5.3102069472843345</v>
      </c>
      <c r="K23" s="49">
        <f>MAX(E21:E22)+MIN(E21:E22)/2</f>
        <v>13.5</v>
      </c>
      <c r="L23" s="48">
        <f>(B21+B22)/2+J23+K23+10*LOG10(D$10/F$1)</f>
        <v>72.12384458887422</v>
      </c>
      <c r="M23" s="50">
        <f t="shared" si="2"/>
        <v>6.132189131988428E-08</v>
      </c>
      <c r="N23" s="94">
        <f t="shared" si="0"/>
        <v>0.009753012607819758</v>
      </c>
    </row>
    <row r="24" spans="7:14" ht="15">
      <c r="G24" s="35"/>
      <c r="H24" s="35"/>
      <c r="I24" s="34"/>
      <c r="J24" s="35"/>
      <c r="K24" s="52" t="s">
        <v>125</v>
      </c>
      <c r="L24" s="53">
        <f>10*LOG10(1/M24)</f>
        <v>52.015232445205214</v>
      </c>
      <c r="M24" s="38">
        <f>SUM(M10:M23)</f>
        <v>6.287482010503882E-06</v>
      </c>
      <c r="N24" s="40">
        <f>MIN(L12:L23)</f>
        <v>58.623844588874206</v>
      </c>
    </row>
    <row r="26" ht="12.75">
      <c r="A26" s="17" t="s">
        <v>100</v>
      </c>
    </row>
    <row r="27" spans="1:12" ht="12.75">
      <c r="A27" s="5" t="s">
        <v>101</v>
      </c>
      <c r="B27" s="6"/>
      <c r="C27" s="6" t="s">
        <v>104</v>
      </c>
      <c r="D27" s="77">
        <v>350</v>
      </c>
      <c r="E27" s="6"/>
      <c r="F27" s="7" t="s">
        <v>107</v>
      </c>
      <c r="G27" s="7" t="s">
        <v>106</v>
      </c>
      <c r="H27" s="8">
        <f>160*SQRT(D29*(1/D27+1/D30))</f>
        <v>99.36944054529901</v>
      </c>
      <c r="I27" s="32" t="s">
        <v>112</v>
      </c>
      <c r="J27" s="18">
        <f>IF(H27&lt;=80,35-D28/2,IF(H27&lt;=125,32-D28/2,IF(H27&lt;=200,28-D28/2,IF(H27&lt;=250,-2,IF(H27&lt;=315,-4,IF(H27&lt;=400,-6,IF(H27&lt;=500,-8,IF(H27&lt;=1600,-10,-5))))))))</f>
        <v>7.5</v>
      </c>
      <c r="L27" s="1"/>
    </row>
    <row r="28" spans="1:12" ht="12.75">
      <c r="A28" s="9"/>
      <c r="B28" s="10"/>
      <c r="C28" s="10" t="s">
        <v>111</v>
      </c>
      <c r="D28" s="78">
        <v>49</v>
      </c>
      <c r="E28" s="10"/>
      <c r="F28" s="11" t="s">
        <v>108</v>
      </c>
      <c r="G28" s="11" t="s">
        <v>106</v>
      </c>
      <c r="H28" s="12">
        <f>160*SQRT(0.111/D31*(1/D27+1/D30))</f>
        <v>27.031410300928485</v>
      </c>
      <c r="I28" s="33" t="s">
        <v>112</v>
      </c>
      <c r="J28" s="19">
        <f>IF(H28&lt;=80,35-D28/2,IF(H28&lt;=125,32-D28/2,IF(H28&lt;=200,28-D28/2,IF(H28&lt;=250,-2,IF(H28&lt;=315,-4,IF(H28&lt;=400,-6,IF(H28&lt;=500,-8,IF(H28&lt;=1600,-10,-5))))))))</f>
        <v>10.5</v>
      </c>
      <c r="L28" s="1"/>
    </row>
    <row r="29" spans="1:10" ht="12.75">
      <c r="A29" s="9" t="s">
        <v>102</v>
      </c>
      <c r="B29" s="10"/>
      <c r="C29" s="10" t="s">
        <v>105</v>
      </c>
      <c r="D29" s="78">
        <v>30</v>
      </c>
      <c r="E29" s="10"/>
      <c r="F29" s="10"/>
      <c r="G29" s="10"/>
      <c r="H29" s="10"/>
      <c r="I29" s="14"/>
      <c r="J29" s="13"/>
    </row>
    <row r="30" spans="1:10" ht="12.75">
      <c r="A30" s="9" t="s">
        <v>103</v>
      </c>
      <c r="B30" s="10"/>
      <c r="C30" s="10" t="s">
        <v>104</v>
      </c>
      <c r="D30" s="78">
        <v>100</v>
      </c>
      <c r="E30" s="10"/>
      <c r="F30" s="10"/>
      <c r="G30" s="10"/>
      <c r="H30" s="10"/>
      <c r="I30" s="14"/>
      <c r="J30" s="13"/>
    </row>
    <row r="31" spans="1:10" ht="12.75">
      <c r="A31" s="15" t="s">
        <v>109</v>
      </c>
      <c r="B31" s="4"/>
      <c r="C31" s="4" t="s">
        <v>110</v>
      </c>
      <c r="D31" s="76">
        <v>0.05</v>
      </c>
      <c r="E31" s="4"/>
      <c r="F31" s="4"/>
      <c r="G31" s="4"/>
      <c r="H31" s="4"/>
      <c r="I31" s="3"/>
      <c r="J31" s="16"/>
    </row>
  </sheetData>
  <sheetProtection password="C680" sheet="1" objects="1" scenarios="1"/>
  <mergeCells count="7">
    <mergeCell ref="N10:N11"/>
    <mergeCell ref="L10:L11"/>
    <mergeCell ref="M10:M11"/>
    <mergeCell ref="A10:A11"/>
    <mergeCell ref="B10:B11"/>
    <mergeCell ref="C10:C11"/>
    <mergeCell ref="D10:D11"/>
  </mergeCells>
  <conditionalFormatting sqref="L12:L23">
    <cfRule type="cellIs" priority="1" dxfId="0" operator="equal" stopIfTrue="1">
      <formula>$N$24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O58"/>
  <sheetViews>
    <sheetView workbookViewId="0" topLeftCell="A1">
      <selection activeCell="G12" sqref="G12"/>
    </sheetView>
  </sheetViews>
  <sheetFormatPr defaultColWidth="9.140625" defaultRowHeight="12.75"/>
  <cols>
    <col min="1" max="1" width="11.57421875" style="0" customWidth="1"/>
    <col min="2" max="8" width="9.140625" style="1" customWidth="1"/>
    <col min="10" max="11" width="9.140625" style="1" customWidth="1"/>
    <col min="13" max="13" width="8.57421875" style="0" customWidth="1"/>
  </cols>
  <sheetData>
    <row r="1" spans="5:8" ht="12.75">
      <c r="E1" s="2" t="s">
        <v>28</v>
      </c>
      <c r="F1" s="81">
        <v>4.9</v>
      </c>
      <c r="H1" s="89" t="s">
        <v>133</v>
      </c>
    </row>
    <row r="2" spans="5:8" ht="12.75">
      <c r="E2" s="2" t="s">
        <v>114</v>
      </c>
      <c r="F2" s="81">
        <v>6.1</v>
      </c>
      <c r="H2" s="89" t="s">
        <v>134</v>
      </c>
    </row>
    <row r="3" spans="5:8" ht="12.75">
      <c r="E3" s="1" t="s">
        <v>115</v>
      </c>
      <c r="F3" s="81">
        <v>2.7</v>
      </c>
      <c r="H3" s="89" t="s">
        <v>135</v>
      </c>
    </row>
    <row r="4" spans="5:8" ht="12.75">
      <c r="E4" s="1" t="s">
        <v>116</v>
      </c>
      <c r="F4" s="81">
        <v>2.7</v>
      </c>
      <c r="H4" s="89" t="s">
        <v>136</v>
      </c>
    </row>
    <row r="5" ht="12.75"/>
    <row r="6" ht="12.75"/>
    <row r="7" ht="12.75"/>
    <row r="8" ht="12.75"/>
    <row r="9" spans="1:14" ht="12.75">
      <c r="A9" s="29"/>
      <c r="B9" s="30" t="s">
        <v>0</v>
      </c>
      <c r="C9" s="30" t="s">
        <v>14</v>
      </c>
      <c r="D9" s="30" t="s">
        <v>32</v>
      </c>
      <c r="E9" s="31" t="s">
        <v>130</v>
      </c>
      <c r="F9" s="30"/>
      <c r="G9" s="30" t="s">
        <v>23</v>
      </c>
      <c r="H9" s="30" t="s">
        <v>27</v>
      </c>
      <c r="I9" s="30" t="s">
        <v>33</v>
      </c>
      <c r="J9" s="30" t="s">
        <v>39</v>
      </c>
      <c r="K9" s="31" t="s">
        <v>131</v>
      </c>
      <c r="L9" s="30" t="s">
        <v>34</v>
      </c>
      <c r="M9" s="30" t="s">
        <v>40</v>
      </c>
      <c r="N9" s="30" t="s">
        <v>113</v>
      </c>
    </row>
    <row r="10" spans="1:14" ht="12.75">
      <c r="A10" s="101" t="s">
        <v>5</v>
      </c>
      <c r="B10" s="102">
        <v>49</v>
      </c>
      <c r="C10" s="102">
        <v>340</v>
      </c>
      <c r="D10" s="103">
        <f>F1*F2</f>
        <v>29.89</v>
      </c>
      <c r="E10" s="81">
        <v>11</v>
      </c>
      <c r="F10" s="1" t="s">
        <v>128</v>
      </c>
      <c r="G10" s="90" t="s">
        <v>24</v>
      </c>
      <c r="H10" s="35"/>
      <c r="I10" s="34"/>
      <c r="J10" s="35"/>
      <c r="K10" s="35"/>
      <c r="L10" s="98">
        <f>B10+E10+E11</f>
        <v>60</v>
      </c>
      <c r="M10" s="100">
        <f>10^(-L10/10)</f>
        <v>1E-06</v>
      </c>
      <c r="N10" s="104">
        <f>M10/M$24</f>
        <v>0.24578281078735037</v>
      </c>
    </row>
    <row r="11" spans="1:15" ht="12.75">
      <c r="A11" s="101"/>
      <c r="B11" s="102"/>
      <c r="C11" s="102"/>
      <c r="D11" s="103"/>
      <c r="E11" s="81">
        <v>0</v>
      </c>
      <c r="F11" s="1" t="s">
        <v>129</v>
      </c>
      <c r="G11" s="35"/>
      <c r="H11" s="35"/>
      <c r="I11" s="34"/>
      <c r="J11" s="35"/>
      <c r="K11" s="35"/>
      <c r="L11" s="101"/>
      <c r="M11" s="101"/>
      <c r="N11" s="105"/>
      <c r="O11" s="91">
        <f>MIN(L12:L23)</f>
        <v>60.46231820451069</v>
      </c>
    </row>
    <row r="12" spans="1:15" ht="12.75">
      <c r="A12" s="27" t="s">
        <v>6</v>
      </c>
      <c r="B12" s="82">
        <v>53</v>
      </c>
      <c r="C12" s="82">
        <v>280</v>
      </c>
      <c r="D12" s="83">
        <f>F2*F3</f>
        <v>16.47</v>
      </c>
      <c r="E12" s="82">
        <v>0</v>
      </c>
      <c r="F12" s="28" t="s">
        <v>17</v>
      </c>
      <c r="G12" s="41">
        <f>LOG10(C$10/C12)</f>
        <v>0.08432088570003587</v>
      </c>
      <c r="H12" s="42">
        <f>IF(C14=1,8.7+5.7*G12^2,5.7+5.7*G12^2)</f>
        <v>5.740527067061859</v>
      </c>
      <c r="I12" s="42">
        <f>10*LOG10(F$2*(1/D12+1/D$10))</f>
        <v>-2.4074625190670957</v>
      </c>
      <c r="J12" s="42">
        <f aca="true" t="shared" si="0" ref="J12:J23">MAX(H12,I12)</f>
        <v>5.740527067061859</v>
      </c>
      <c r="K12" s="43">
        <f>MAX(E12,E$11)+MIN(E$11,E12)/2</f>
        <v>0</v>
      </c>
      <c r="L12" s="42">
        <f>(B12+B$10)/2+K12+J12+10*LOG10(D$10/F$2)</f>
        <v>63.642487867347</v>
      </c>
      <c r="M12" s="44">
        <f aca="true" t="shared" si="1" ref="M12:M23">10^(-L12/10)</f>
        <v>4.322661353041831E-07</v>
      </c>
      <c r="N12" s="45">
        <f aca="true" t="shared" si="2" ref="N12:N23">M12/M$24</f>
        <v>0.10624358574324723</v>
      </c>
      <c r="O12" s="36">
        <f>IF(E12=0,C12,"")</f>
        <v>280</v>
      </c>
    </row>
    <row r="13" spans="1:15" ht="12.75">
      <c r="A13" s="27" t="s">
        <v>7</v>
      </c>
      <c r="B13" s="82">
        <v>53</v>
      </c>
      <c r="C13" s="82">
        <v>280</v>
      </c>
      <c r="D13" s="83">
        <f>F2*F4</f>
        <v>16.47</v>
      </c>
      <c r="E13" s="82">
        <v>0</v>
      </c>
      <c r="F13" s="28" t="s">
        <v>15</v>
      </c>
      <c r="G13" s="41">
        <f>LOG10(C13/C$10)</f>
        <v>-0.08432088570003593</v>
      </c>
      <c r="H13" s="42">
        <f>IF(C14=1,8.7+5.7*G13^2,5.7+5.7*G13^2)</f>
        <v>5.740527067061859</v>
      </c>
      <c r="I13" s="42">
        <f>10*LOG10(F$2*(1/D$10+1/D13))</f>
        <v>-2.4074625190670957</v>
      </c>
      <c r="J13" s="42">
        <f t="shared" si="0"/>
        <v>5.740527067061859</v>
      </c>
      <c r="K13" s="43">
        <f>MAX(E13,E$10)+MIN(E13,E$10)/2</f>
        <v>11</v>
      </c>
      <c r="L13" s="42">
        <f>(B13+B$10)/2+K13+J13+10*LOG10(D$10/F$2)</f>
        <v>74.642487867347</v>
      </c>
      <c r="M13" s="44">
        <f t="shared" si="1"/>
        <v>3.433611961872597E-08</v>
      </c>
      <c r="N13" s="45">
        <f t="shared" si="2"/>
        <v>0.008439227991421154</v>
      </c>
      <c r="O13" s="36"/>
    </row>
    <row r="14" spans="1:15" ht="12.75">
      <c r="A14" s="27" t="s">
        <v>4</v>
      </c>
      <c r="B14" s="82" t="s">
        <v>26</v>
      </c>
      <c r="C14" s="84">
        <f>IF(B14="croce",1,2)</f>
        <v>2</v>
      </c>
      <c r="D14" s="83"/>
      <c r="E14" s="82"/>
      <c r="F14" s="28" t="s">
        <v>35</v>
      </c>
      <c r="G14" s="41">
        <f>LOG10(C$10/C12)</f>
        <v>0.08432088570003587</v>
      </c>
      <c r="H14" s="42">
        <f>IF(C14=1,8.7+17.1*G14+5.7*G14^2,5.7+14.1*G14+5.7*G14^2)</f>
        <v>6.929451555432365</v>
      </c>
      <c r="I14" s="42">
        <f>10*LOG10(F$2*(1/D12+1/D13))</f>
        <v>-1.3033376849500609</v>
      </c>
      <c r="J14" s="42">
        <f t="shared" si="0"/>
        <v>6.929451555432365</v>
      </c>
      <c r="K14" s="43">
        <f>MAX(E12:E13)+MIN(E12:E13)/2</f>
        <v>0</v>
      </c>
      <c r="L14" s="42">
        <f>(B12+B13)/2+J14+K14+10*LOG10(D$10/F$2)</f>
        <v>66.8314123557175</v>
      </c>
      <c r="M14" s="44">
        <f t="shared" si="1"/>
        <v>2.074238850925301E-07</v>
      </c>
      <c r="N14" s="45">
        <f t="shared" si="2"/>
        <v>0.05098122550247443</v>
      </c>
      <c r="O14" s="36"/>
    </row>
    <row r="15" spans="1:15" ht="12.75">
      <c r="A15" t="s">
        <v>8</v>
      </c>
      <c r="B15" s="81">
        <v>40</v>
      </c>
      <c r="C15" s="81">
        <v>208</v>
      </c>
      <c r="D15" s="85">
        <f>F1*F3</f>
        <v>13.230000000000002</v>
      </c>
      <c r="E15" s="81">
        <v>0</v>
      </c>
      <c r="F15" s="22" t="s">
        <v>18</v>
      </c>
      <c r="G15" s="46">
        <f>LOG10(C$10/C15)</f>
        <v>0.21341558207949357</v>
      </c>
      <c r="H15" s="37">
        <f>IF(C17=1,8.7+5.7*G15^2,5.7+5.7*G15^2)</f>
        <v>8.959613400843676</v>
      </c>
      <c r="I15" s="37">
        <f>10*LOG10(F$1*(1/D15+1/D$10))</f>
        <v>-2.722109270195858</v>
      </c>
      <c r="J15" s="37">
        <f t="shared" si="0"/>
        <v>8.959613400843676</v>
      </c>
      <c r="K15" s="35">
        <f>MAX(E15,E$11)+MIN(E$11,E15)/2</f>
        <v>0</v>
      </c>
      <c r="L15" s="37">
        <f>(B15+B$10)/2+K15+J15+10*LOG10(D$10/F$1)</f>
        <v>61.31291175095135</v>
      </c>
      <c r="M15" s="38">
        <f t="shared" si="1"/>
        <v>7.391095688759428E-07</v>
      </c>
      <c r="N15" s="39">
        <f t="shared" si="2"/>
        <v>0.18166042731815596</v>
      </c>
      <c r="O15" s="36">
        <f>IF(E15=0,C15,"")</f>
        <v>208</v>
      </c>
    </row>
    <row r="16" spans="1:15" ht="12.75">
      <c r="A16" t="s">
        <v>9</v>
      </c>
      <c r="B16" s="81">
        <v>40</v>
      </c>
      <c r="C16" s="81">
        <v>208</v>
      </c>
      <c r="D16" s="85">
        <f>F1*F4</f>
        <v>13.230000000000002</v>
      </c>
      <c r="E16" s="81">
        <v>0</v>
      </c>
      <c r="F16" s="22" t="s">
        <v>19</v>
      </c>
      <c r="G16" s="46">
        <f>LOG10(C16/C$10)</f>
        <v>-0.21341558207949354</v>
      </c>
      <c r="H16" s="37">
        <f>IF(C17=1,8.7+5.7*G16^2,5.7+5.7*G16^2)</f>
        <v>8.959613400843676</v>
      </c>
      <c r="I16" s="37">
        <f>10*LOG10(F$1*(1/D$10+1/D16))</f>
        <v>-2.722109270195858</v>
      </c>
      <c r="J16" s="37">
        <f t="shared" si="0"/>
        <v>8.959613400843676</v>
      </c>
      <c r="K16" s="35">
        <f>MAX(E16,E$10)+MIN(E16,E$10)/2</f>
        <v>11</v>
      </c>
      <c r="L16" s="37">
        <f>(B16+B$10)/2+K16+J16+10*LOG10(D$10/F$1)</f>
        <v>72.31291175095134</v>
      </c>
      <c r="M16" s="38">
        <f t="shared" si="1"/>
        <v>5.8709559911305234E-08</v>
      </c>
      <c r="N16" s="39">
        <f t="shared" si="2"/>
        <v>0.014429800655088944</v>
      </c>
      <c r="O16" s="36"/>
    </row>
    <row r="17" spans="1:15" ht="12.75">
      <c r="A17" t="s">
        <v>1</v>
      </c>
      <c r="B17" s="81" t="s">
        <v>25</v>
      </c>
      <c r="C17" s="86">
        <f>IF(B17="croce",1,2)</f>
        <v>1</v>
      </c>
      <c r="D17" s="85"/>
      <c r="E17" s="81"/>
      <c r="F17" s="22" t="s">
        <v>36</v>
      </c>
      <c r="G17" s="46">
        <f>LOG10(C$10/C15)</f>
        <v>0.21341558207949357</v>
      </c>
      <c r="H17" s="37">
        <f>IF(C17=1,8.7+17.1*G17+5.7*G17^2,5.7+14.1*G17+5.7*G17^2)</f>
        <v>12.609019854403016</v>
      </c>
      <c r="I17" s="37">
        <f>10*LOG10(F$1*(1/D15+1/D16))</f>
        <v>-1.3033376849500613</v>
      </c>
      <c r="J17" s="37">
        <f t="shared" si="0"/>
        <v>12.609019854403016</v>
      </c>
      <c r="K17" s="35">
        <f>MAX(E15:E16)+MIN(E15:E16)/2</f>
        <v>0</v>
      </c>
      <c r="L17" s="37">
        <f>(B15+B16)/2+J17+K17+10*LOG10(D$10/F$1)</f>
        <v>60.46231820451069</v>
      </c>
      <c r="M17" s="38">
        <f t="shared" si="1"/>
        <v>8.990175701538939E-07</v>
      </c>
      <c r="N17" s="39">
        <f t="shared" si="2"/>
        <v>0.220963065339638</v>
      </c>
      <c r="O17" s="36"/>
    </row>
    <row r="18" spans="1:15" ht="12.75">
      <c r="A18" s="27" t="s">
        <v>10</v>
      </c>
      <c r="B18" s="82">
        <v>56</v>
      </c>
      <c r="C18" s="82">
        <v>208</v>
      </c>
      <c r="D18" s="83">
        <f>F2*F3</f>
        <v>16.47</v>
      </c>
      <c r="E18" s="82">
        <v>0</v>
      </c>
      <c r="F18" s="28" t="s">
        <v>16</v>
      </c>
      <c r="G18" s="41">
        <f>LOG10(C$10/C18)</f>
        <v>0.21341558207949357</v>
      </c>
      <c r="H18" s="42">
        <f>IF(C20=1,8.7+5.7*G18^2,5.7+5.7*G18^2)</f>
        <v>5.959613400843676</v>
      </c>
      <c r="I18" s="42">
        <f>10*LOG10(F$2*(1/D18+1/D$10))</f>
        <v>-2.4074625190670957</v>
      </c>
      <c r="J18" s="42">
        <f t="shared" si="0"/>
        <v>5.959613400843676</v>
      </c>
      <c r="K18" s="43">
        <f>MAX(E18,E$11)+MIN(E$11,E18)/2</f>
        <v>0</v>
      </c>
      <c r="L18" s="42">
        <f>(B18+B$10)/2+K18+J18+10*LOG10(D$10/F$2)</f>
        <v>65.36157420112882</v>
      </c>
      <c r="M18" s="44">
        <f t="shared" si="1"/>
        <v>2.9096622522950546E-07</v>
      </c>
      <c r="N18" s="45">
        <f t="shared" si="2"/>
        <v>0.07151449668109311</v>
      </c>
      <c r="O18" s="36">
        <f>IF(E18=0,C18,"")</f>
        <v>208</v>
      </c>
    </row>
    <row r="19" spans="1:15" ht="12.75">
      <c r="A19" s="27" t="s">
        <v>11</v>
      </c>
      <c r="B19" s="82">
        <v>56</v>
      </c>
      <c r="C19" s="82">
        <v>208</v>
      </c>
      <c r="D19" s="83">
        <f>F2*F4</f>
        <v>16.47</v>
      </c>
      <c r="E19" s="82">
        <v>0</v>
      </c>
      <c r="F19" s="28" t="s">
        <v>20</v>
      </c>
      <c r="G19" s="41">
        <f>LOG10(C19/C$10)</f>
        <v>-0.21341558207949354</v>
      </c>
      <c r="H19" s="42">
        <f>IF(C20=1,8.7+5.7*G19^2,5.7+5.7*G19^2)</f>
        <v>5.959613400843676</v>
      </c>
      <c r="I19" s="42">
        <f>10*LOG10(F$2*(1/D$10+1/D19))</f>
        <v>-2.4074625190670957</v>
      </c>
      <c r="J19" s="42">
        <f t="shared" si="0"/>
        <v>5.959613400843676</v>
      </c>
      <c r="K19" s="43">
        <f>MAX(E19,E$10)+MIN(E19,E$10)/2</f>
        <v>11</v>
      </c>
      <c r="L19" s="42">
        <f>(B19+B$10)/2+K19+J19+10*LOG10(D$10/F$2)</f>
        <v>76.36157420112882</v>
      </c>
      <c r="M19" s="44">
        <f t="shared" si="1"/>
        <v>2.3112268805093992E-08</v>
      </c>
      <c r="N19" s="45">
        <f t="shared" si="2"/>
        <v>0.005680598390588797</v>
      </c>
      <c r="O19" s="36"/>
    </row>
    <row r="20" spans="1:15" ht="12.75">
      <c r="A20" s="27" t="s">
        <v>2</v>
      </c>
      <c r="B20" s="82" t="s">
        <v>26</v>
      </c>
      <c r="C20" s="84">
        <f>IF(B20="croce",1,2)</f>
        <v>2</v>
      </c>
      <c r="D20" s="83"/>
      <c r="E20" s="82"/>
      <c r="F20" s="28" t="s">
        <v>37</v>
      </c>
      <c r="G20" s="41">
        <f>LOG10(C$10/C18)</f>
        <v>0.21341558207949357</v>
      </c>
      <c r="H20" s="42">
        <f>IF(C20=1,8.7+17.1*G20+5.7*G20^2,5.7+14.1*G20+5.7*G20^2)</f>
        <v>8.968773108164536</v>
      </c>
      <c r="I20" s="42">
        <f>10*LOG10(F$2*(1/D18+1/D19))</f>
        <v>-1.3033376849500609</v>
      </c>
      <c r="J20" s="42">
        <f t="shared" si="0"/>
        <v>8.968773108164536</v>
      </c>
      <c r="K20" s="43">
        <f>MAX(E18:E19)+MIN(E18:E19)/2</f>
        <v>0</v>
      </c>
      <c r="L20" s="42">
        <f>(B18+B19)/2+J20+K20+10*LOG10(D$10/F$2)</f>
        <v>71.87073390844968</v>
      </c>
      <c r="M20" s="44">
        <f t="shared" si="1"/>
        <v>6.500198350766709E-08</v>
      </c>
      <c r="N20" s="45">
        <f t="shared" si="2"/>
        <v>0.015976370213267407</v>
      </c>
      <c r="O20" s="36"/>
    </row>
    <row r="21" spans="1:15" ht="12.75">
      <c r="A21" t="s">
        <v>12</v>
      </c>
      <c r="B21" s="81">
        <v>53</v>
      </c>
      <c r="C21" s="81">
        <v>115</v>
      </c>
      <c r="D21" s="85">
        <f>F1*F3</f>
        <v>13.230000000000002</v>
      </c>
      <c r="E21" s="81">
        <v>0</v>
      </c>
      <c r="F21" s="22" t="s">
        <v>21</v>
      </c>
      <c r="G21" s="46">
        <f>LOG10(C$10/C21)</f>
        <v>0.4707810766886434</v>
      </c>
      <c r="H21" s="37">
        <f>IF(C23=1,8.7+5.7*G21^2,5.7+5.7*G21^2)</f>
        <v>6.963318486358275</v>
      </c>
      <c r="I21" s="37">
        <f>10*LOG10(F$1*(1/D21+1/D$10))</f>
        <v>-2.722109270195858</v>
      </c>
      <c r="J21" s="37">
        <f t="shared" si="0"/>
        <v>6.963318486358275</v>
      </c>
      <c r="K21" s="35">
        <f>MAX(E21,E$11)+MIN(E$11,E21)/2</f>
        <v>0</v>
      </c>
      <c r="L21" s="37">
        <f>(B21+B$10)/2+K21+J21+10*LOG10(D$10/F$1)</f>
        <v>65.81661683646594</v>
      </c>
      <c r="M21" s="38">
        <f t="shared" si="1"/>
        <v>2.6202233731428143E-07</v>
      </c>
      <c r="N21" s="39">
        <f t="shared" si="2"/>
        <v>0.06440058655417533</v>
      </c>
      <c r="O21" s="36">
        <f>IF(E21=0,C21,"")</f>
        <v>115</v>
      </c>
    </row>
    <row r="22" spans="1:15" ht="12.75">
      <c r="A22" t="s">
        <v>13</v>
      </c>
      <c r="B22" s="81">
        <v>53</v>
      </c>
      <c r="C22" s="81">
        <v>115</v>
      </c>
      <c r="D22" s="85">
        <f>F1*F4</f>
        <v>13.230000000000002</v>
      </c>
      <c r="E22" s="81">
        <v>0</v>
      </c>
      <c r="F22" s="22" t="s">
        <v>22</v>
      </c>
      <c r="G22" s="46">
        <f>LOG10(C22/C$10)</f>
        <v>-0.47078107668864344</v>
      </c>
      <c r="H22" s="37">
        <f>IF(C23=1,8.7+5.7*G22^2,5.7+5.7*G22^2)</f>
        <v>6.9633184863582755</v>
      </c>
      <c r="I22" s="37">
        <f>10*LOG10(F$1*(1/D$10+1/D22))</f>
        <v>-2.722109270195858</v>
      </c>
      <c r="J22" s="37">
        <f t="shared" si="0"/>
        <v>6.9633184863582755</v>
      </c>
      <c r="K22" s="35">
        <f>MAX(E22,E$10)+MIN(E22,E$10)/2</f>
        <v>11</v>
      </c>
      <c r="L22" s="37">
        <f>(B22+B$10)/2+K22+J22+10*LOG10(D$10/F$1)</f>
        <v>76.81661683646594</v>
      </c>
      <c r="M22" s="38">
        <f t="shared" si="1"/>
        <v>2.0813174065718373E-08</v>
      </c>
      <c r="N22" s="39">
        <f t="shared" si="2"/>
        <v>0.005115520423278647</v>
      </c>
      <c r="O22" s="20"/>
    </row>
    <row r="23" spans="1:15" ht="12.75">
      <c r="A23" s="3" t="s">
        <v>3</v>
      </c>
      <c r="B23" s="76" t="s">
        <v>26</v>
      </c>
      <c r="C23" s="87">
        <f>IF(B23="croce",1,2)</f>
        <v>2</v>
      </c>
      <c r="D23" s="88"/>
      <c r="E23" s="76"/>
      <c r="F23" s="26" t="s">
        <v>38</v>
      </c>
      <c r="G23" s="47">
        <f>LOG10(C$10/C21)</f>
        <v>0.4707810766886434</v>
      </c>
      <c r="H23" s="48">
        <f>IF(C23=1,8.7+17.1*G23+5.7*G23^2,5.7+14.1*G23+5.7*G23^2)</f>
        <v>13.601331667668147</v>
      </c>
      <c r="I23" s="48">
        <f>10*LOG10(F$1*(1/D21+1/D22))</f>
        <v>-1.3033376849500613</v>
      </c>
      <c r="J23" s="48">
        <f t="shared" si="0"/>
        <v>13.601331667668147</v>
      </c>
      <c r="K23" s="49">
        <f>MAX(E21:E22)+MIN(E21:E22)/2</f>
        <v>0</v>
      </c>
      <c r="L23" s="48">
        <f>(B21+B22)/2+J23+K23+10*LOG10(D$10/F$1)</f>
        <v>74.45463001777581</v>
      </c>
      <c r="M23" s="50">
        <f t="shared" si="1"/>
        <v>3.5853949151248074E-08</v>
      </c>
      <c r="N23" s="51">
        <f t="shared" si="2"/>
        <v>0.008812284400220487</v>
      </c>
      <c r="O23" s="20"/>
    </row>
    <row r="24" spans="5:14" ht="15">
      <c r="E24" s="54"/>
      <c r="F24" s="54"/>
      <c r="G24" s="54"/>
      <c r="H24" s="54"/>
      <c r="I24" s="55"/>
      <c r="J24" s="54"/>
      <c r="K24" s="56" t="s">
        <v>125</v>
      </c>
      <c r="L24" s="57">
        <f>10*LOG10(1/M24)</f>
        <v>53.90551506535624</v>
      </c>
      <c r="M24" s="58">
        <f>SUM(M10:M23)</f>
        <v>4.068632777030096E-06</v>
      </c>
      <c r="N24" s="55"/>
    </row>
    <row r="25" spans="5:14" ht="12.75">
      <c r="E25" s="54"/>
      <c r="F25" s="54"/>
      <c r="G25" s="54"/>
      <c r="H25" s="54"/>
      <c r="I25" s="55"/>
      <c r="J25" s="54"/>
      <c r="K25" s="54"/>
      <c r="L25" s="55"/>
      <c r="M25" s="55"/>
      <c r="N25" s="55"/>
    </row>
    <row r="26" spans="1:14" ht="12.75">
      <c r="A26" s="17" t="s">
        <v>100</v>
      </c>
      <c r="E26" s="54"/>
      <c r="F26" s="54"/>
      <c r="G26" s="54"/>
      <c r="H26" s="54"/>
      <c r="I26" s="55"/>
      <c r="J26" s="54"/>
      <c r="K26" s="54"/>
      <c r="L26" s="55"/>
      <c r="M26" s="55"/>
      <c r="N26" s="55"/>
    </row>
    <row r="27" spans="1:14" ht="12.75">
      <c r="A27" s="5" t="s">
        <v>101</v>
      </c>
      <c r="B27" s="6"/>
      <c r="C27" s="6" t="s">
        <v>104</v>
      </c>
      <c r="D27" s="77">
        <v>340</v>
      </c>
      <c r="E27" s="59"/>
      <c r="F27" s="60" t="s">
        <v>107</v>
      </c>
      <c r="G27" s="60" t="s">
        <v>106</v>
      </c>
      <c r="H27" s="61">
        <f>160*SQRT(D29*(1/D27+1/D31))</f>
        <v>99.69364839051565</v>
      </c>
      <c r="I27" s="62" t="s">
        <v>112</v>
      </c>
      <c r="J27" s="63">
        <f>IF(H27&lt;=80,35-D28/2,IF(H27&lt;=125,32-D28/2,IF(H27&lt;=200,28-D28/2,IF(H27&lt;=250,-2,IF(H27&lt;=315,-4,IF(H27&lt;=400,-6,IF(H27&lt;=500,-8,IF(H27&lt;=1600,-10,-5))))))))</f>
        <v>8</v>
      </c>
      <c r="K27" s="54"/>
      <c r="L27" s="54"/>
      <c r="M27" s="55"/>
      <c r="N27" s="55"/>
    </row>
    <row r="28" spans="1:14" ht="12.75">
      <c r="A28" s="9"/>
      <c r="B28" s="10"/>
      <c r="C28" s="10" t="s">
        <v>111</v>
      </c>
      <c r="D28" s="78">
        <v>48</v>
      </c>
      <c r="E28" s="64"/>
      <c r="F28" s="65" t="s">
        <v>108</v>
      </c>
      <c r="G28" s="65" t="s">
        <v>106</v>
      </c>
      <c r="H28" s="66">
        <f>160*SQRT(0.111/D30*(1/D27+1/D31))</f>
        <v>27.119604369836786</v>
      </c>
      <c r="I28" s="67" t="s">
        <v>112</v>
      </c>
      <c r="J28" s="68">
        <f>IF(H28&lt;=80,35-D28/2,IF(H28&lt;=125,32-D28/2,IF(H28&lt;=200,28-D28/2,IF(H28&lt;=250,-2,IF(H28&lt;=315,-4,IF(H28&lt;=400,-6,IF(H28&lt;=500,-8,IF(H28&lt;=1600,-10,-5))))))))</f>
        <v>11</v>
      </c>
      <c r="K28" s="54"/>
      <c r="L28" s="54"/>
      <c r="M28" s="55"/>
      <c r="N28" s="55"/>
    </row>
    <row r="29" spans="1:14" ht="12.75">
      <c r="A29" s="9" t="s">
        <v>102</v>
      </c>
      <c r="B29" s="10"/>
      <c r="C29" s="10" t="s">
        <v>105</v>
      </c>
      <c r="D29" s="78">
        <v>30</v>
      </c>
      <c r="E29" s="64"/>
      <c r="F29" s="64"/>
      <c r="G29" s="64"/>
      <c r="H29" s="64"/>
      <c r="I29" s="69"/>
      <c r="J29" s="68"/>
      <c r="K29" s="54"/>
      <c r="L29" s="55"/>
      <c r="M29" s="55"/>
      <c r="N29" s="55"/>
    </row>
    <row r="30" spans="1:14" ht="12.75">
      <c r="A30" s="9" t="s">
        <v>109</v>
      </c>
      <c r="B30" s="10"/>
      <c r="C30" s="10" t="s">
        <v>110</v>
      </c>
      <c r="D30" s="78">
        <v>0.05</v>
      </c>
      <c r="E30" s="64"/>
      <c r="F30" s="64"/>
      <c r="G30" s="64"/>
      <c r="H30" s="64"/>
      <c r="I30" s="69"/>
      <c r="J30" s="70"/>
      <c r="K30" s="54"/>
      <c r="L30" s="55"/>
      <c r="M30" s="55"/>
      <c r="N30" s="55"/>
    </row>
    <row r="31" spans="1:14" ht="12.75">
      <c r="A31" s="15" t="s">
        <v>103</v>
      </c>
      <c r="B31" s="4"/>
      <c r="C31" s="4" t="s">
        <v>104</v>
      </c>
      <c r="D31" s="76">
        <v>100</v>
      </c>
      <c r="E31" s="4"/>
      <c r="F31" s="4"/>
      <c r="G31" s="71"/>
      <c r="H31" s="71"/>
      <c r="I31" s="72"/>
      <c r="J31" s="73"/>
      <c r="K31" s="54"/>
      <c r="L31" s="55"/>
      <c r="M31" s="55"/>
      <c r="N31" s="55"/>
    </row>
    <row r="32" spans="1:14" ht="12.75">
      <c r="A32" s="9"/>
      <c r="B32" s="10"/>
      <c r="C32" s="10"/>
      <c r="D32" s="78"/>
      <c r="E32" s="64"/>
      <c r="F32" s="64"/>
      <c r="G32" s="64"/>
      <c r="H32" s="64"/>
      <c r="I32" s="69"/>
      <c r="J32" s="64"/>
      <c r="K32" s="54"/>
      <c r="L32" s="55"/>
      <c r="M32" s="55"/>
      <c r="N32" s="55"/>
    </row>
    <row r="33" spans="1:14" ht="12.75">
      <c r="A33" s="21" t="s">
        <v>132</v>
      </c>
      <c r="B33" s="10"/>
      <c r="C33" s="10"/>
      <c r="D33" s="78"/>
      <c r="E33" s="71"/>
      <c r="F33" s="71"/>
      <c r="G33" s="64"/>
      <c r="H33" s="64"/>
      <c r="I33" s="69"/>
      <c r="J33" s="64"/>
      <c r="K33" s="54"/>
      <c r="L33" s="55"/>
      <c r="M33" s="55"/>
      <c r="N33" s="55"/>
    </row>
    <row r="34" spans="1:14" ht="12.75">
      <c r="A34" s="5" t="s">
        <v>117</v>
      </c>
      <c r="B34" s="80">
        <f>164-35*LOG10(C10)</f>
        <v>75.39823790352108</v>
      </c>
      <c r="C34" s="6" t="s">
        <v>118</v>
      </c>
      <c r="D34" s="77"/>
      <c r="E34" s="64" t="s">
        <v>119</v>
      </c>
      <c r="F34" s="78" t="s">
        <v>120</v>
      </c>
      <c r="G34" s="60" t="s">
        <v>106</v>
      </c>
      <c r="H34" s="61">
        <f>160*SQRT(D29/D31)</f>
        <v>87.63560920082656</v>
      </c>
      <c r="I34" s="62" t="s">
        <v>121</v>
      </c>
      <c r="J34" s="63">
        <f>IF(F34="cls",30*LOG10(500/H34),40*LOG10(500/H34)-3)</f>
        <v>22.688681829607887</v>
      </c>
      <c r="K34" s="54"/>
      <c r="L34" s="55"/>
      <c r="M34" s="55"/>
      <c r="N34" s="55"/>
    </row>
    <row r="35" spans="1:14" ht="12.75">
      <c r="A35" s="9" t="s">
        <v>122</v>
      </c>
      <c r="B35" s="10"/>
      <c r="C35" s="10"/>
      <c r="D35" s="79">
        <f>AVERAGE(O12,O15,O18,O21)</f>
        <v>202.75</v>
      </c>
      <c r="E35" s="74">
        <f>(D35-100)/50+1</f>
        <v>3.055</v>
      </c>
      <c r="F35" s="64"/>
      <c r="G35" s="64"/>
      <c r="H35" s="64"/>
      <c r="I35" s="69"/>
      <c r="J35" s="70"/>
      <c r="K35" s="54"/>
      <c r="L35" s="55"/>
      <c r="M35" s="55"/>
      <c r="N35" s="55"/>
    </row>
    <row r="36" spans="1:14" ht="15">
      <c r="A36" s="15" t="s">
        <v>123</v>
      </c>
      <c r="B36" s="4"/>
      <c r="C36" s="4"/>
      <c r="D36" s="76">
        <f>C10</f>
        <v>340</v>
      </c>
      <c r="E36" s="75">
        <f>IF(D36&lt;=500,1+(D36-100)/50,(D36-500)/100+10)</f>
        <v>5.8</v>
      </c>
      <c r="F36" s="71"/>
      <c r="G36" s="95" t="s">
        <v>124</v>
      </c>
      <c r="H36" s="71">
        <f>INDEX(B46:J58,E36,E35)</f>
        <v>1</v>
      </c>
      <c r="I36" s="72"/>
      <c r="J36" s="73"/>
      <c r="K36" s="56" t="s">
        <v>126</v>
      </c>
      <c r="L36" s="57">
        <f>B34-J34+H36</f>
        <v>53.70955607391319</v>
      </c>
      <c r="M36" s="55"/>
      <c r="N36" s="55"/>
    </row>
    <row r="37" ht="12.75"/>
    <row r="45" spans="1:10" ht="12.75">
      <c r="A45" s="34"/>
      <c r="B45" s="35">
        <v>100</v>
      </c>
      <c r="C45" s="35">
        <v>150</v>
      </c>
      <c r="D45" s="35">
        <v>200</v>
      </c>
      <c r="E45" s="35">
        <v>250</v>
      </c>
      <c r="F45" s="35">
        <v>300</v>
      </c>
      <c r="G45" s="35">
        <v>350</v>
      </c>
      <c r="H45" s="35">
        <v>400</v>
      </c>
      <c r="I45" s="35">
        <v>450</v>
      </c>
      <c r="J45" s="35">
        <v>500</v>
      </c>
    </row>
    <row r="46" spans="1:10" ht="12.75">
      <c r="A46" s="34">
        <v>100</v>
      </c>
      <c r="B46" s="35">
        <v>1</v>
      </c>
      <c r="C46" s="35"/>
      <c r="D46" s="35"/>
      <c r="E46" s="35"/>
      <c r="F46" s="35"/>
      <c r="G46" s="35"/>
      <c r="H46" s="35"/>
      <c r="I46" s="34"/>
      <c r="J46" s="35"/>
    </row>
    <row r="47" spans="1:10" ht="12.75">
      <c r="A47" s="34">
        <v>150</v>
      </c>
      <c r="B47" s="35">
        <v>1</v>
      </c>
      <c r="C47" s="35">
        <v>1</v>
      </c>
      <c r="D47" s="35"/>
      <c r="E47" s="35"/>
      <c r="F47" s="35"/>
      <c r="G47" s="35"/>
      <c r="H47" s="35"/>
      <c r="I47" s="34"/>
      <c r="J47" s="35"/>
    </row>
    <row r="48" spans="1:10" ht="12.75">
      <c r="A48" s="34">
        <v>200</v>
      </c>
      <c r="B48" s="35">
        <v>2</v>
      </c>
      <c r="C48" s="35">
        <v>1</v>
      </c>
      <c r="D48" s="35">
        <v>1</v>
      </c>
      <c r="E48" s="35"/>
      <c r="F48" s="35"/>
      <c r="G48" s="35"/>
      <c r="H48" s="35"/>
      <c r="I48" s="34"/>
      <c r="J48" s="35"/>
    </row>
    <row r="49" spans="1:10" ht="12.75">
      <c r="A49" s="34">
        <v>250</v>
      </c>
      <c r="B49" s="35">
        <v>2</v>
      </c>
      <c r="C49" s="35">
        <v>1</v>
      </c>
      <c r="D49" s="35">
        <v>1</v>
      </c>
      <c r="E49" s="35">
        <v>1</v>
      </c>
      <c r="F49" s="35"/>
      <c r="G49" s="35"/>
      <c r="H49" s="35"/>
      <c r="I49" s="34"/>
      <c r="J49" s="35"/>
    </row>
    <row r="50" spans="1:10" ht="12.75">
      <c r="A50" s="34">
        <v>300</v>
      </c>
      <c r="B50" s="35">
        <v>3</v>
      </c>
      <c r="C50" s="35">
        <v>2</v>
      </c>
      <c r="D50" s="35">
        <v>1</v>
      </c>
      <c r="E50" s="35">
        <v>1</v>
      </c>
      <c r="F50" s="35">
        <v>1</v>
      </c>
      <c r="G50" s="35"/>
      <c r="H50" s="35"/>
      <c r="I50" s="34"/>
      <c r="J50" s="35"/>
    </row>
    <row r="51" spans="1:10" ht="12.75">
      <c r="A51" s="34">
        <v>350</v>
      </c>
      <c r="B51" s="35">
        <v>3</v>
      </c>
      <c r="C51" s="35">
        <v>2</v>
      </c>
      <c r="D51" s="35">
        <v>1</v>
      </c>
      <c r="E51" s="35">
        <v>1</v>
      </c>
      <c r="F51" s="35">
        <v>1</v>
      </c>
      <c r="G51" s="35">
        <v>1</v>
      </c>
      <c r="H51" s="35"/>
      <c r="I51" s="34"/>
      <c r="J51" s="35"/>
    </row>
    <row r="52" spans="1:10" ht="12.75">
      <c r="A52" s="34">
        <v>400</v>
      </c>
      <c r="B52" s="35">
        <v>4</v>
      </c>
      <c r="C52" s="35">
        <v>2</v>
      </c>
      <c r="D52" s="35">
        <v>2</v>
      </c>
      <c r="E52" s="35">
        <v>1</v>
      </c>
      <c r="F52" s="35">
        <v>1</v>
      </c>
      <c r="G52" s="35">
        <v>1</v>
      </c>
      <c r="H52" s="35">
        <v>1</v>
      </c>
      <c r="I52" s="34"/>
      <c r="J52" s="35"/>
    </row>
    <row r="53" spans="1:10" ht="12.75">
      <c r="A53" s="34">
        <v>450</v>
      </c>
      <c r="B53" s="35">
        <v>4</v>
      </c>
      <c r="C53" s="35">
        <v>3</v>
      </c>
      <c r="D53" s="35">
        <v>2</v>
      </c>
      <c r="E53" s="35">
        <v>2</v>
      </c>
      <c r="F53" s="35">
        <v>1</v>
      </c>
      <c r="G53" s="35">
        <v>1</v>
      </c>
      <c r="H53" s="35">
        <v>1</v>
      </c>
      <c r="I53" s="35">
        <v>1</v>
      </c>
      <c r="J53" s="35">
        <v>1</v>
      </c>
    </row>
    <row r="54" spans="1:10" ht="12.75">
      <c r="A54" s="34">
        <v>500</v>
      </c>
      <c r="B54" s="35">
        <v>4</v>
      </c>
      <c r="C54" s="35">
        <v>3</v>
      </c>
      <c r="D54" s="35">
        <v>2</v>
      </c>
      <c r="E54" s="35">
        <v>2</v>
      </c>
      <c r="F54" s="35">
        <v>1</v>
      </c>
      <c r="G54" s="35">
        <v>1</v>
      </c>
      <c r="H54" s="35">
        <v>1</v>
      </c>
      <c r="I54" s="35">
        <v>1</v>
      </c>
      <c r="J54" s="35">
        <v>1</v>
      </c>
    </row>
    <row r="55" spans="1:10" ht="12.75">
      <c r="A55" s="34">
        <v>600</v>
      </c>
      <c r="B55" s="35">
        <v>5</v>
      </c>
      <c r="C55" s="35">
        <v>4</v>
      </c>
      <c r="D55" s="35">
        <v>3</v>
      </c>
      <c r="E55" s="35">
        <v>2</v>
      </c>
      <c r="F55" s="35">
        <v>2</v>
      </c>
      <c r="G55" s="35">
        <v>1</v>
      </c>
      <c r="H55" s="35">
        <v>1</v>
      </c>
      <c r="I55" s="35">
        <v>1</v>
      </c>
      <c r="J55" s="35">
        <v>1</v>
      </c>
    </row>
    <row r="56" spans="1:10" ht="12.75">
      <c r="A56" s="34">
        <v>700</v>
      </c>
      <c r="B56" s="35">
        <v>5</v>
      </c>
      <c r="C56" s="35">
        <v>4</v>
      </c>
      <c r="D56" s="35">
        <v>3</v>
      </c>
      <c r="E56" s="35">
        <v>3</v>
      </c>
      <c r="F56" s="35">
        <v>2</v>
      </c>
      <c r="G56" s="35">
        <v>2</v>
      </c>
      <c r="H56" s="35">
        <v>1</v>
      </c>
      <c r="I56" s="35">
        <v>1</v>
      </c>
      <c r="J56" s="35">
        <v>1</v>
      </c>
    </row>
    <row r="57" spans="1:10" ht="12.75">
      <c r="A57" s="34">
        <v>800</v>
      </c>
      <c r="B57" s="35">
        <v>6</v>
      </c>
      <c r="C57" s="35">
        <v>4</v>
      </c>
      <c r="D57" s="35">
        <v>4</v>
      </c>
      <c r="E57" s="35">
        <v>3</v>
      </c>
      <c r="F57" s="35">
        <v>2</v>
      </c>
      <c r="G57" s="35">
        <v>2</v>
      </c>
      <c r="H57" s="35">
        <v>2</v>
      </c>
      <c r="I57" s="35">
        <v>1</v>
      </c>
      <c r="J57" s="35">
        <v>1</v>
      </c>
    </row>
    <row r="58" spans="1:10" ht="12.75">
      <c r="A58" s="34">
        <v>900</v>
      </c>
      <c r="B58" s="35">
        <v>6</v>
      </c>
      <c r="C58" s="35">
        <v>5</v>
      </c>
      <c r="D58" s="35">
        <v>4</v>
      </c>
      <c r="E58" s="35">
        <v>3</v>
      </c>
      <c r="F58" s="35">
        <v>3</v>
      </c>
      <c r="G58" s="35">
        <v>2</v>
      </c>
      <c r="H58" s="35">
        <v>2</v>
      </c>
      <c r="I58" s="35">
        <v>2</v>
      </c>
      <c r="J58" s="35">
        <v>2</v>
      </c>
    </row>
  </sheetData>
  <sheetProtection password="C680" sheet="1" objects="1" scenarios="1"/>
  <mergeCells count="7">
    <mergeCell ref="L10:L11"/>
    <mergeCell ref="M10:M11"/>
    <mergeCell ref="N10:N11"/>
    <mergeCell ref="A10:A11"/>
    <mergeCell ref="B10:B11"/>
    <mergeCell ref="C10:C11"/>
    <mergeCell ref="D10:D11"/>
  </mergeCells>
  <conditionalFormatting sqref="L12:L23">
    <cfRule type="cellIs" priority="1" dxfId="0" operator="equal" stopIfTrue="1">
      <formula>$O$11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C55"/>
  <sheetViews>
    <sheetView workbookViewId="0" topLeftCell="A1">
      <selection activeCell="A6" sqref="A6"/>
    </sheetView>
  </sheetViews>
  <sheetFormatPr defaultColWidth="9.140625" defaultRowHeight="12.75"/>
  <cols>
    <col min="1" max="1" width="116.28125" style="23" customWidth="1"/>
    <col min="2" max="3" width="9.140625" style="1" customWidth="1"/>
  </cols>
  <sheetData>
    <row r="1" spans="1:3" s="25" customFormat="1" ht="12.75">
      <c r="A1" s="24" t="s">
        <v>127</v>
      </c>
      <c r="B1" s="22" t="s">
        <v>14</v>
      </c>
      <c r="C1" s="22" t="s">
        <v>0</v>
      </c>
    </row>
    <row r="2" spans="1:3" ht="25.5">
      <c r="A2" s="23" t="s">
        <v>41</v>
      </c>
      <c r="B2" s="1">
        <v>136</v>
      </c>
      <c r="C2" s="1">
        <v>42.5</v>
      </c>
    </row>
    <row r="3" spans="1:3" ht="25.5">
      <c r="A3" s="23" t="s">
        <v>42</v>
      </c>
      <c r="B3" s="1">
        <v>136</v>
      </c>
      <c r="C3" s="1">
        <v>42</v>
      </c>
    </row>
    <row r="4" spans="1:3" ht="25.5">
      <c r="A4" s="23" t="s">
        <v>43</v>
      </c>
      <c r="B4" s="1">
        <v>285</v>
      </c>
      <c r="C4" s="1">
        <v>51.5</v>
      </c>
    </row>
    <row r="5" spans="1:3" ht="25.5">
      <c r="A5" s="23" t="s">
        <v>44</v>
      </c>
      <c r="B5" s="1">
        <v>477</v>
      </c>
      <c r="C5" s="1">
        <v>51</v>
      </c>
    </row>
    <row r="6" spans="1:3" ht="25.5">
      <c r="A6" s="23" t="s">
        <v>45</v>
      </c>
      <c r="B6" s="1">
        <v>682</v>
      </c>
      <c r="C6" s="1">
        <v>52.5</v>
      </c>
    </row>
    <row r="7" spans="1:3" ht="25.5">
      <c r="A7" s="23" t="s">
        <v>46</v>
      </c>
      <c r="B7" s="1">
        <v>440</v>
      </c>
      <c r="C7" s="1">
        <v>51</v>
      </c>
    </row>
    <row r="8" spans="1:3" ht="25.5">
      <c r="A8" s="23" t="s">
        <v>47</v>
      </c>
      <c r="B8" s="1">
        <v>330</v>
      </c>
      <c r="C8" s="1">
        <v>46.5</v>
      </c>
    </row>
    <row r="9" spans="1:3" ht="25.5">
      <c r="A9" s="23" t="s">
        <v>48</v>
      </c>
      <c r="B9" s="1">
        <v>149</v>
      </c>
      <c r="C9" s="1">
        <v>42.5</v>
      </c>
    </row>
    <row r="10" spans="1:3" ht="25.5">
      <c r="A10" s="23" t="s">
        <v>49</v>
      </c>
      <c r="B10" s="1">
        <v>203</v>
      </c>
      <c r="C10" s="1">
        <v>40</v>
      </c>
    </row>
    <row r="11" spans="1:3" ht="25.5">
      <c r="A11" s="23" t="s">
        <v>50</v>
      </c>
      <c r="B11" s="1">
        <v>428</v>
      </c>
      <c r="C11" s="1">
        <v>49</v>
      </c>
    </row>
    <row r="12" spans="1:3" ht="25.5">
      <c r="A12" s="23" t="s">
        <v>51</v>
      </c>
      <c r="B12" s="1">
        <v>285</v>
      </c>
      <c r="C12" s="1">
        <v>44.5</v>
      </c>
    </row>
    <row r="13" spans="1:3" ht="25.5">
      <c r="A13" s="23" t="s">
        <v>52</v>
      </c>
      <c r="B13" s="1">
        <v>301</v>
      </c>
      <c r="C13" s="1">
        <v>45</v>
      </c>
    </row>
    <row r="14" spans="1:3" ht="25.5">
      <c r="A14" s="23" t="s">
        <v>53</v>
      </c>
      <c r="B14" s="1">
        <v>96</v>
      </c>
      <c r="C14" s="1">
        <v>37</v>
      </c>
    </row>
    <row r="15" spans="1:3" ht="25.5">
      <c r="A15" s="23" t="s">
        <v>54</v>
      </c>
      <c r="B15" s="1">
        <v>112</v>
      </c>
      <c r="C15" s="1">
        <v>38.5</v>
      </c>
    </row>
    <row r="16" spans="1:3" ht="25.5">
      <c r="A16" s="23" t="s">
        <v>55</v>
      </c>
      <c r="B16" s="1">
        <v>164</v>
      </c>
      <c r="C16" s="1">
        <v>41.5</v>
      </c>
    </row>
    <row r="17" spans="1:3" ht="25.5">
      <c r="A17" s="23" t="s">
        <v>56</v>
      </c>
      <c r="B17" s="1">
        <v>268</v>
      </c>
      <c r="C17" s="1">
        <v>43</v>
      </c>
    </row>
    <row r="18" spans="1:3" ht="25.5">
      <c r="A18" s="23" t="s">
        <v>57</v>
      </c>
      <c r="B18" s="1">
        <v>125</v>
      </c>
      <c r="C18" s="1">
        <v>42</v>
      </c>
    </row>
    <row r="19" spans="1:3" ht="25.5">
      <c r="A19" s="23" t="s">
        <v>58</v>
      </c>
      <c r="B19" s="1">
        <v>129</v>
      </c>
      <c r="C19" s="1">
        <v>42.5</v>
      </c>
    </row>
    <row r="20" spans="1:3" ht="25.5">
      <c r="A20" s="23" t="s">
        <v>59</v>
      </c>
      <c r="B20" s="1">
        <v>124</v>
      </c>
      <c r="C20" s="1">
        <v>42</v>
      </c>
    </row>
    <row r="21" spans="1:3" ht="25.5">
      <c r="A21" s="23" t="s">
        <v>60</v>
      </c>
      <c r="B21" s="1">
        <v>267</v>
      </c>
      <c r="C21" s="1">
        <v>47.5</v>
      </c>
    </row>
    <row r="22" spans="1:3" ht="25.5">
      <c r="A22" s="23" t="s">
        <v>61</v>
      </c>
      <c r="B22" s="1">
        <v>234</v>
      </c>
      <c r="C22" s="1">
        <v>51.5</v>
      </c>
    </row>
    <row r="23" spans="1:3" ht="25.5">
      <c r="A23" s="23" t="s">
        <v>62</v>
      </c>
      <c r="B23" s="1">
        <v>268</v>
      </c>
      <c r="C23" s="1">
        <v>47.5</v>
      </c>
    </row>
    <row r="24" spans="1:3" ht="25.5">
      <c r="A24" s="23" t="s">
        <v>63</v>
      </c>
      <c r="B24" s="1">
        <v>241</v>
      </c>
      <c r="C24" s="1">
        <v>48.5</v>
      </c>
    </row>
    <row r="25" spans="1:3" ht="25.5">
      <c r="A25" s="23" t="s">
        <v>64</v>
      </c>
      <c r="B25" s="1">
        <v>257</v>
      </c>
      <c r="C25" s="1">
        <v>48</v>
      </c>
    </row>
    <row r="26" spans="1:3" ht="25.5">
      <c r="A26" s="23" t="s">
        <v>65</v>
      </c>
      <c r="B26" s="1">
        <v>198</v>
      </c>
      <c r="C26" s="1">
        <v>47</v>
      </c>
    </row>
    <row r="27" spans="1:3" ht="25.5">
      <c r="A27" s="23" t="s">
        <v>66</v>
      </c>
      <c r="B27" s="1">
        <v>302</v>
      </c>
      <c r="C27" s="1">
        <v>49</v>
      </c>
    </row>
    <row r="28" spans="1:3" ht="25.5">
      <c r="A28" s="23" t="s">
        <v>67</v>
      </c>
      <c r="B28" s="1">
        <v>360</v>
      </c>
      <c r="C28" s="1">
        <v>52</v>
      </c>
    </row>
    <row r="29" spans="1:3" ht="25.5">
      <c r="A29" s="23" t="s">
        <v>68</v>
      </c>
      <c r="B29" s="1">
        <v>222</v>
      </c>
      <c r="C29" s="1">
        <v>49.5</v>
      </c>
    </row>
    <row r="30" spans="1:3" ht="25.5">
      <c r="A30" s="23" t="s">
        <v>69</v>
      </c>
      <c r="B30" s="1">
        <v>241</v>
      </c>
      <c r="C30" s="1">
        <v>47.5</v>
      </c>
    </row>
    <row r="31" spans="1:3" ht="25.5">
      <c r="A31" s="23" t="s">
        <v>70</v>
      </c>
      <c r="B31" s="1">
        <v>260</v>
      </c>
      <c r="C31" s="1">
        <v>50</v>
      </c>
    </row>
    <row r="32" spans="1:3" ht="25.5">
      <c r="A32" s="23" t="s">
        <v>71</v>
      </c>
      <c r="B32" s="1">
        <v>244</v>
      </c>
      <c r="C32" s="1">
        <v>48</v>
      </c>
    </row>
    <row r="33" spans="1:3" ht="25.5">
      <c r="A33" s="23" t="s">
        <v>72</v>
      </c>
      <c r="B33" s="1">
        <v>469</v>
      </c>
      <c r="C33" s="1">
        <v>54.5</v>
      </c>
    </row>
    <row r="34" spans="1:3" ht="38.25">
      <c r="A34" s="23" t="s">
        <v>73</v>
      </c>
      <c r="B34" s="1">
        <v>192.1</v>
      </c>
      <c r="C34" s="1">
        <v>50</v>
      </c>
    </row>
    <row r="35" spans="1:3" ht="38.25">
      <c r="A35" s="23" t="s">
        <v>73</v>
      </c>
      <c r="B35" s="1">
        <v>192.1</v>
      </c>
      <c r="C35" s="1">
        <v>50</v>
      </c>
    </row>
    <row r="36" spans="1:3" ht="38.25">
      <c r="A36" s="23" t="s">
        <v>74</v>
      </c>
      <c r="B36" s="1">
        <v>250.2</v>
      </c>
      <c r="C36" s="1">
        <v>49</v>
      </c>
    </row>
    <row r="37" spans="1:3" ht="25.5">
      <c r="A37" s="23" t="s">
        <v>75</v>
      </c>
      <c r="B37" s="1">
        <v>467.6</v>
      </c>
      <c r="C37" s="1">
        <v>49</v>
      </c>
    </row>
    <row r="38" spans="1:3" ht="25.5">
      <c r="A38" s="23" t="s">
        <v>76</v>
      </c>
      <c r="B38" s="1">
        <v>499.9</v>
      </c>
      <c r="C38" s="1">
        <v>50</v>
      </c>
    </row>
    <row r="39" spans="1:3" ht="25.5">
      <c r="A39" s="23" t="s">
        <v>77</v>
      </c>
      <c r="B39" s="1">
        <v>416</v>
      </c>
      <c r="C39" s="1">
        <v>48</v>
      </c>
    </row>
    <row r="40" spans="1:3" ht="25.5">
      <c r="A40" s="23" t="s">
        <v>78</v>
      </c>
      <c r="B40" s="1">
        <v>443.3</v>
      </c>
      <c r="C40" s="1">
        <v>56</v>
      </c>
    </row>
    <row r="41" spans="1:3" ht="25.5">
      <c r="A41" s="23" t="s">
        <v>78</v>
      </c>
      <c r="B41" s="1">
        <v>443.3</v>
      </c>
      <c r="C41" s="1">
        <v>56</v>
      </c>
    </row>
    <row r="42" spans="1:3" ht="38.25">
      <c r="A42" s="23" t="s">
        <v>79</v>
      </c>
      <c r="B42" s="1">
        <v>130</v>
      </c>
      <c r="C42" s="1">
        <v>40</v>
      </c>
    </row>
    <row r="43" spans="1:3" ht="38.25">
      <c r="A43" s="23" t="s">
        <v>79</v>
      </c>
      <c r="B43" s="1">
        <v>130</v>
      </c>
      <c r="C43" s="1">
        <v>39</v>
      </c>
    </row>
    <row r="44" spans="1:3" ht="38.25">
      <c r="A44" s="23" t="s">
        <v>79</v>
      </c>
      <c r="B44" s="1">
        <v>130</v>
      </c>
      <c r="C44" s="1">
        <v>37</v>
      </c>
    </row>
    <row r="45" spans="1:3" ht="38.25">
      <c r="A45" s="23" t="s">
        <v>79</v>
      </c>
      <c r="B45" s="1">
        <v>130</v>
      </c>
      <c r="C45" s="1">
        <v>39</v>
      </c>
    </row>
    <row r="46" spans="1:3" ht="25.5">
      <c r="A46" s="23" t="s">
        <v>80</v>
      </c>
      <c r="B46" s="1">
        <v>363.3</v>
      </c>
      <c r="C46" s="1">
        <v>54</v>
      </c>
    </row>
    <row r="47" spans="1:3" ht="38.25">
      <c r="A47" s="23" t="s">
        <v>81</v>
      </c>
      <c r="B47" s="1">
        <v>375.6</v>
      </c>
      <c r="C47" s="1">
        <v>52</v>
      </c>
    </row>
    <row r="48" spans="1:3" ht="38.25">
      <c r="A48" s="23" t="s">
        <v>82</v>
      </c>
      <c r="B48" s="1">
        <v>252.7</v>
      </c>
      <c r="C48" s="1">
        <v>54</v>
      </c>
    </row>
    <row r="49" spans="1:3" ht="38.25">
      <c r="A49" s="23" t="s">
        <v>83</v>
      </c>
      <c r="B49" s="1">
        <v>245.6</v>
      </c>
      <c r="C49" s="1">
        <v>53</v>
      </c>
    </row>
    <row r="50" spans="1:3" ht="38.25">
      <c r="A50" s="23" t="s">
        <v>84</v>
      </c>
      <c r="B50" s="1">
        <v>242.9</v>
      </c>
      <c r="C50" s="1">
        <v>53</v>
      </c>
    </row>
    <row r="51" spans="1:3" ht="25.5">
      <c r="A51" s="23" t="s">
        <v>85</v>
      </c>
      <c r="B51" s="1">
        <v>370.7</v>
      </c>
      <c r="C51" s="1">
        <v>53</v>
      </c>
    </row>
    <row r="52" spans="1:3" ht="12.75">
      <c r="A52" s="23" t="s">
        <v>86</v>
      </c>
      <c r="B52" s="1">
        <v>329.7</v>
      </c>
      <c r="C52" s="1">
        <v>52</v>
      </c>
    </row>
    <row r="53" spans="1:3" ht="38.25">
      <c r="A53" s="23" t="s">
        <v>87</v>
      </c>
      <c r="B53" s="1">
        <v>160.4</v>
      </c>
      <c r="C53" s="1">
        <v>46</v>
      </c>
    </row>
    <row r="54" spans="1:3" ht="12.75">
      <c r="A54" s="23" t="s">
        <v>88</v>
      </c>
      <c r="B54" s="1">
        <v>180</v>
      </c>
      <c r="C54" s="1">
        <v>45</v>
      </c>
    </row>
    <row r="55" spans="1:3" ht="12.75">
      <c r="A55" s="23" t="s">
        <v>89</v>
      </c>
      <c r="B55" s="1">
        <v>280</v>
      </c>
      <c r="C55" s="1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C12"/>
  <sheetViews>
    <sheetView workbookViewId="0" topLeftCell="A1">
      <selection activeCell="A27" sqref="A27"/>
    </sheetView>
  </sheetViews>
  <sheetFormatPr defaultColWidth="9.140625" defaultRowHeight="12.75"/>
  <cols>
    <col min="1" max="1" width="69.8515625" style="23" customWidth="1"/>
    <col min="2" max="3" width="9.140625" style="1" customWidth="1"/>
  </cols>
  <sheetData>
    <row r="1" spans="1:3" s="25" customFormat="1" ht="12.75">
      <c r="A1" s="24" t="s">
        <v>127</v>
      </c>
      <c r="B1" s="22" t="s">
        <v>14</v>
      </c>
      <c r="C1" s="22" t="s">
        <v>0</v>
      </c>
    </row>
    <row r="2" spans="1:3" ht="25.5">
      <c r="A2" s="23" t="s">
        <v>90</v>
      </c>
      <c r="B2" s="1">
        <v>270</v>
      </c>
      <c r="C2" s="1">
        <v>49</v>
      </c>
    </row>
    <row r="3" spans="1:3" ht="25.5">
      <c r="A3" s="23" t="s">
        <v>91</v>
      </c>
      <c r="B3" s="1">
        <v>340</v>
      </c>
      <c r="C3" s="1">
        <v>50</v>
      </c>
    </row>
    <row r="4" spans="1:3" ht="25.5">
      <c r="A4" s="23" t="s">
        <v>92</v>
      </c>
      <c r="B4" s="1">
        <v>269</v>
      </c>
      <c r="C4" s="1">
        <v>48.5</v>
      </c>
    </row>
    <row r="5" spans="1:3" ht="25.5">
      <c r="A5" s="23" t="s">
        <v>93</v>
      </c>
      <c r="B5" s="1">
        <v>284</v>
      </c>
      <c r="C5" s="1">
        <v>47.5</v>
      </c>
    </row>
    <row r="6" spans="1:3" ht="25.5">
      <c r="A6" s="23" t="s">
        <v>94</v>
      </c>
      <c r="B6" s="1">
        <v>273</v>
      </c>
      <c r="C6" s="1">
        <v>47.5</v>
      </c>
    </row>
    <row r="7" spans="1:3" ht="25.5">
      <c r="A7" s="23" t="s">
        <v>95</v>
      </c>
      <c r="B7" s="1">
        <v>362</v>
      </c>
      <c r="C7" s="1">
        <v>50</v>
      </c>
    </row>
    <row r="8" spans="1:3" ht="25.5">
      <c r="A8" s="23" t="s">
        <v>96</v>
      </c>
      <c r="B8" s="1">
        <v>321</v>
      </c>
      <c r="C8" s="1">
        <v>48.5</v>
      </c>
    </row>
    <row r="9" spans="1:3" ht="25.5">
      <c r="A9" s="23" t="s">
        <v>97</v>
      </c>
      <c r="B9" s="1">
        <v>369</v>
      </c>
      <c r="C9" s="1">
        <v>52.5</v>
      </c>
    </row>
    <row r="10" spans="1:3" ht="38.25">
      <c r="A10" s="23" t="s">
        <v>98</v>
      </c>
      <c r="B10" s="1">
        <v>419</v>
      </c>
      <c r="C10" s="1">
        <v>51.5</v>
      </c>
    </row>
    <row r="11" spans="1:3" ht="25.5">
      <c r="A11" s="23" t="s">
        <v>96</v>
      </c>
      <c r="B11" s="1">
        <v>458</v>
      </c>
      <c r="C11" s="1">
        <v>53.5</v>
      </c>
    </row>
    <row r="12" spans="1:3" ht="38.25">
      <c r="A12" s="23" t="s">
        <v>99</v>
      </c>
      <c r="B12" s="1">
        <v>361</v>
      </c>
      <c r="C12" s="1">
        <v>51.5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FM</cp:lastModifiedBy>
  <dcterms:created xsi:type="dcterms:W3CDTF">2011-06-17T13:35:08Z</dcterms:created>
  <dcterms:modified xsi:type="dcterms:W3CDTF">2011-12-02T11:09:52Z</dcterms:modified>
  <cp:category/>
  <cp:version/>
  <cp:contentType/>
  <cp:contentStatus/>
</cp:coreProperties>
</file>